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uayre.meireles\Desktop\"/>
    </mc:Choice>
  </mc:AlternateContent>
  <xr:revisionPtr revIDLastSave="0" documentId="13_ncr:1_{ED00B93A-0C63-41A2-A277-914E48762EF6}" xr6:coauthVersionLast="47" xr6:coauthVersionMax="47" xr10:uidLastSave="{00000000-0000-0000-0000-000000000000}"/>
  <bookViews>
    <workbookView xWindow="-120" yWindow="-120" windowWidth="20730" windowHeight="11160" tabRatio="500" firstSheet="1" activeTab="2" xr2:uid="{00000000-000D-0000-FFFF-FFFF00000000}"/>
  </bookViews>
  <sheets>
    <sheet name="Síntese " sheetId="1" state="hidden" r:id="rId1"/>
    <sheet name="PRODUÇÃO - 2026" sheetId="2" r:id="rId2"/>
    <sheet name="DESEMPENHO - 2026" sheetId="3" r:id="rId3"/>
    <sheet name="EFETIVIDADE - 2026" sheetId="4" r:id="rId4"/>
  </sheets>
  <definedNames>
    <definedName name="_xlnm._FilterDatabase" localSheetId="3" hidden="1">'EFETIVIDADE - 2026'!$G$55:$N$67</definedName>
    <definedName name="_xlnm.Print_Area" localSheetId="2">'DESEMPENHO - 2026'!$A$1:$V$70</definedName>
    <definedName name="_xlnm.Print_Area" localSheetId="3">'EFETIVIDADE - 2026'!$A$1:$Z$84</definedName>
    <definedName name="_xlnm.Print_Area" localSheetId="1">'PRODUÇÃO - 2026'!$A$1:$S$214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0" i="3" l="1"/>
  <c r="P136" i="2"/>
  <c r="P135" i="2"/>
  <c r="P134" i="2"/>
  <c r="P133" i="2"/>
  <c r="P132" i="2"/>
  <c r="P131" i="2"/>
  <c r="P130" i="2"/>
  <c r="P129" i="2"/>
  <c r="P128" i="2"/>
  <c r="P162" i="2"/>
  <c r="P161" i="2"/>
  <c r="P160" i="2"/>
  <c r="P159" i="2"/>
  <c r="P154" i="2"/>
  <c r="P153" i="2"/>
  <c r="P152" i="2"/>
  <c r="D43" i="4"/>
  <c r="D24" i="4"/>
  <c r="D23" i="4"/>
  <c r="D22" i="4"/>
  <c r="D21" i="4"/>
  <c r="D25" i="4"/>
  <c r="D9" i="4"/>
  <c r="N12" i="3"/>
  <c r="M12" i="3"/>
  <c r="B4" i="3"/>
  <c r="P103" i="2"/>
  <c r="P71" i="2"/>
  <c r="P70" i="2"/>
  <c r="P69" i="2"/>
  <c r="P68" i="2"/>
  <c r="P84" i="2"/>
  <c r="P14" i="2"/>
  <c r="P13" i="2"/>
  <c r="P12" i="2"/>
  <c r="P11" i="2"/>
  <c r="D81" i="4"/>
  <c r="P158" i="2"/>
  <c r="P157" i="2"/>
  <c r="P156" i="2"/>
  <c r="P155" i="2"/>
  <c r="P146" i="2"/>
  <c r="P145" i="2"/>
  <c r="P144" i="2"/>
  <c r="P143" i="2"/>
  <c r="P142" i="2"/>
  <c r="P141" i="2"/>
  <c r="P140" i="2"/>
  <c r="P139" i="2"/>
  <c r="P7" i="2"/>
  <c r="R152" i="2"/>
  <c r="C81" i="4"/>
  <c r="C43" i="4"/>
  <c r="C25" i="4"/>
  <c r="O12" i="3"/>
  <c r="P12" i="3"/>
  <c r="Q12" i="3"/>
  <c r="R12" i="3"/>
  <c r="S12" i="3"/>
  <c r="T12" i="3"/>
  <c r="U12" i="3"/>
  <c r="V12" i="3"/>
  <c r="W12" i="3"/>
  <c r="L12" i="3"/>
  <c r="C24" i="4"/>
  <c r="C23" i="4"/>
  <c r="C22" i="4"/>
  <c r="C21" i="4"/>
  <c r="Q152" i="2"/>
  <c r="R128" i="2"/>
  <c r="Q129" i="2"/>
  <c r="Q130" i="2"/>
  <c r="Q131" i="2"/>
  <c r="Q132" i="2"/>
  <c r="Q133" i="2"/>
  <c r="Q134" i="2"/>
  <c r="Q135" i="2"/>
  <c r="Q128" i="2"/>
  <c r="Q123" i="2"/>
  <c r="Q103" i="2"/>
  <c r="Q84" i="2"/>
  <c r="P166" i="2"/>
  <c r="S128" i="2" l="1"/>
  <c r="P181" i="2"/>
  <c r="Q37" i="2"/>
  <c r="P178" i="2"/>
  <c r="P179" i="2"/>
  <c r="Q153" i="2"/>
  <c r="Q154" i="2"/>
  <c r="Q155" i="2"/>
  <c r="Q156" i="2"/>
  <c r="Q157" i="2"/>
  <c r="Q158" i="2"/>
  <c r="Q159" i="2"/>
  <c r="Q160" i="2"/>
  <c r="Q161" i="2"/>
  <c r="Q162" i="2"/>
  <c r="R153" i="2"/>
  <c r="R154" i="2"/>
  <c r="R155" i="2"/>
  <c r="R156" i="2"/>
  <c r="R157" i="2"/>
  <c r="R158" i="2"/>
  <c r="R159" i="2"/>
  <c r="R160" i="2"/>
  <c r="R161" i="2"/>
  <c r="R162" i="2"/>
  <c r="P167" i="2"/>
  <c r="P168" i="2"/>
  <c r="P173" i="2"/>
  <c r="P174" i="2"/>
  <c r="P175" i="2"/>
  <c r="P172" i="2"/>
  <c r="D169" i="2"/>
  <c r="R135" i="2"/>
  <c r="S135" i="2" s="1"/>
  <c r="R134" i="2"/>
  <c r="S134" i="2" s="1"/>
  <c r="R133" i="2"/>
  <c r="S133" i="2" s="1"/>
  <c r="R132" i="2"/>
  <c r="S132" i="2" s="1"/>
  <c r="R131" i="2"/>
  <c r="S131" i="2" s="1"/>
  <c r="R130" i="2"/>
  <c r="S130" i="2" s="1"/>
  <c r="R129" i="2"/>
  <c r="S129" i="2" s="1"/>
  <c r="R139" i="2"/>
  <c r="Q140" i="2"/>
  <c r="Q141" i="2"/>
  <c r="Q142" i="2"/>
  <c r="Q143" i="2"/>
  <c r="Q144" i="2"/>
  <c r="Q145" i="2"/>
  <c r="Q146" i="2"/>
  <c r="Q139" i="2"/>
  <c r="R146" i="2"/>
  <c r="R145" i="2"/>
  <c r="S145" i="2" s="1"/>
  <c r="R144" i="2"/>
  <c r="R143" i="2"/>
  <c r="R142" i="2"/>
  <c r="R141" i="2"/>
  <c r="R140" i="2"/>
  <c r="R124" i="2"/>
  <c r="S124" i="2" s="1"/>
  <c r="R123" i="2"/>
  <c r="S123" i="2" s="1"/>
  <c r="Q119" i="2"/>
  <c r="Q118" i="2"/>
  <c r="Q117" i="2"/>
  <c r="P119" i="2"/>
  <c r="P118" i="2"/>
  <c r="P117" i="2"/>
  <c r="R104" i="2"/>
  <c r="S104" i="2" s="1"/>
  <c r="R105" i="2"/>
  <c r="S105" i="2" s="1"/>
  <c r="R106" i="2"/>
  <c r="S106" i="2" s="1"/>
  <c r="R107" i="2"/>
  <c r="S107" i="2" s="1"/>
  <c r="R108" i="2"/>
  <c r="S108" i="2" s="1"/>
  <c r="R109" i="2"/>
  <c r="S109" i="2" s="1"/>
  <c r="R110" i="2"/>
  <c r="S110" i="2" s="1"/>
  <c r="R111" i="2"/>
  <c r="S111" i="2" s="1"/>
  <c r="R112" i="2"/>
  <c r="S112" i="2" s="1"/>
  <c r="R113" i="2"/>
  <c r="S113" i="2" s="1"/>
  <c r="R103" i="2"/>
  <c r="S103" i="2" s="1"/>
  <c r="Q98" i="2"/>
  <c r="Q99" i="2"/>
  <c r="Q97" i="2"/>
  <c r="P98" i="2"/>
  <c r="P99" i="2"/>
  <c r="P97" i="2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84" i="2"/>
  <c r="S84" i="2" s="1"/>
  <c r="P74" i="2"/>
  <c r="P75" i="2"/>
  <c r="P76" i="2"/>
  <c r="P77" i="2"/>
  <c r="P78" i="2"/>
  <c r="P79" i="2"/>
  <c r="P80" i="2"/>
  <c r="P58" i="2"/>
  <c r="P59" i="2"/>
  <c r="P60" i="2"/>
  <c r="P61" i="2"/>
  <c r="P62" i="2"/>
  <c r="P63" i="2"/>
  <c r="P64" i="2"/>
  <c r="P57" i="2"/>
  <c r="P48" i="2"/>
  <c r="P49" i="2"/>
  <c r="P50" i="2"/>
  <c r="P51" i="2"/>
  <c r="P52" i="2"/>
  <c r="P53" i="2"/>
  <c r="P47" i="2"/>
  <c r="Q38" i="2"/>
  <c r="Q39" i="2"/>
  <c r="Q40" i="2"/>
  <c r="Q41" i="2"/>
  <c r="Q42" i="2"/>
  <c r="Q43" i="2"/>
  <c r="P37" i="2"/>
  <c r="Q17" i="2"/>
  <c r="P17" i="2"/>
  <c r="Q33" i="2"/>
  <c r="Q32" i="2"/>
  <c r="Q31" i="2"/>
  <c r="Q30" i="2"/>
  <c r="Q29" i="2"/>
  <c r="Q28" i="2"/>
  <c r="Q27" i="2"/>
  <c r="P27" i="2"/>
  <c r="Q18" i="2"/>
  <c r="Q19" i="2"/>
  <c r="Q20" i="2"/>
  <c r="Q21" i="2"/>
  <c r="Q22" i="2"/>
  <c r="Q23" i="2"/>
  <c r="D24" i="2"/>
  <c r="R6" i="2"/>
  <c r="R7" i="2"/>
  <c r="R5" i="2"/>
  <c r="Q7" i="2"/>
  <c r="B43" i="4"/>
  <c r="R21" i="2" l="1"/>
  <c r="R39" i="2"/>
  <c r="R163" i="2"/>
  <c r="S152" i="2" s="1"/>
  <c r="Q163" i="2"/>
  <c r="P169" i="2"/>
  <c r="S142" i="2"/>
  <c r="R99" i="2"/>
  <c r="S146" i="2"/>
  <c r="R118" i="2"/>
  <c r="R97" i="2"/>
  <c r="R117" i="2"/>
  <c r="S144" i="2"/>
  <c r="S140" i="2"/>
  <c r="S143" i="2"/>
  <c r="S141" i="2"/>
  <c r="S139" i="2"/>
  <c r="R119" i="2"/>
  <c r="R98" i="2"/>
  <c r="P81" i="2"/>
  <c r="R38" i="2"/>
  <c r="R20" i="2"/>
  <c r="R22" i="2"/>
  <c r="R18" i="2"/>
  <c r="R37" i="2"/>
  <c r="R40" i="2"/>
  <c r="R19" i="2"/>
  <c r="R30" i="2"/>
  <c r="R27" i="2"/>
  <c r="R31" i="2"/>
  <c r="R23" i="2"/>
  <c r="R28" i="2"/>
  <c r="R32" i="2"/>
  <c r="R17" i="2"/>
  <c r="R29" i="2"/>
  <c r="R33" i="2"/>
  <c r="P65" i="2"/>
  <c r="P54" i="2"/>
  <c r="R41" i="2"/>
  <c r="R42" i="2"/>
  <c r="R43" i="2"/>
  <c r="S7" i="2"/>
  <c r="B81" i="4"/>
  <c r="W24" i="3" l="1"/>
  <c r="B24" i="4"/>
  <c r="B23" i="4"/>
  <c r="B22" i="4"/>
  <c r="B25" i="4"/>
  <c r="B21" i="4"/>
  <c r="V24" i="3" l="1"/>
  <c r="O100" i="2"/>
  <c r="O8" i="2" l="1"/>
  <c r="O94" i="2"/>
  <c r="O68" i="2" s="1"/>
  <c r="U24" i="3" l="1"/>
  <c r="T24" i="3" l="1"/>
  <c r="U16" i="3" l="1"/>
  <c r="U4" i="3"/>
  <c r="U13" i="3" s="1"/>
  <c r="V4" i="3"/>
  <c r="V13" i="3" s="1"/>
  <c r="W4" i="3"/>
  <c r="W13" i="3" s="1"/>
  <c r="S24" i="3" l="1"/>
  <c r="T4" i="3" l="1"/>
  <c r="T13" i="3" s="1"/>
  <c r="R24" i="3" l="1"/>
  <c r="S4" i="3"/>
  <c r="S13" i="3" s="1"/>
  <c r="B120" i="2" l="1"/>
  <c r="P120" i="2" s="1"/>
  <c r="C119" i="2" a="1"/>
  <c r="C119" i="2" s="1"/>
  <c r="C118" i="2" a="1"/>
  <c r="C118" i="2" s="1"/>
  <c r="C117" i="2" a="1"/>
  <c r="C117" i="2" s="1"/>
  <c r="B100" i="2"/>
  <c r="P100" i="2" s="1"/>
  <c r="N100" i="2"/>
  <c r="C99" i="2" a="1"/>
  <c r="C99" i="2" s="1"/>
  <c r="C98" i="2" a="1"/>
  <c r="C98" i="2" s="1"/>
  <c r="C97" i="2" a="1"/>
  <c r="C97" i="2" s="1"/>
  <c r="O65" i="2"/>
  <c r="N65" i="2"/>
  <c r="M65" i="2"/>
  <c r="L65" i="2"/>
  <c r="K65" i="2"/>
  <c r="J65" i="2"/>
  <c r="I65" i="2"/>
  <c r="H65" i="2"/>
  <c r="G65" i="2"/>
  <c r="F65" i="2"/>
  <c r="E65" i="2"/>
  <c r="D65" i="2"/>
  <c r="O54" i="2"/>
  <c r="N54" i="2"/>
  <c r="M54" i="2"/>
  <c r="L54" i="2"/>
  <c r="K54" i="2"/>
  <c r="J54" i="2"/>
  <c r="I54" i="2"/>
  <c r="H54" i="2"/>
  <c r="G54" i="2"/>
  <c r="F54" i="2"/>
  <c r="E54" i="2"/>
  <c r="D54" i="2"/>
  <c r="O67" i="4"/>
  <c r="L67" i="4"/>
  <c r="Q24" i="3"/>
  <c r="R4" i="3"/>
  <c r="R13" i="3" s="1"/>
  <c r="P24" i="3" l="1"/>
  <c r="Q4" i="3"/>
  <c r="Q13" i="3" s="1"/>
  <c r="O32" i="3" l="1"/>
  <c r="O24" i="3"/>
  <c r="H125" i="2"/>
  <c r="H70" i="2" s="1"/>
  <c r="P4" i="3" l="1"/>
  <c r="P13" i="3" s="1"/>
  <c r="N32" i="3"/>
  <c r="Q67" i="4"/>
  <c r="S67" i="4"/>
  <c r="U67" i="4"/>
  <c r="W67" i="4"/>
  <c r="Y67" i="4"/>
  <c r="N24" i="3"/>
  <c r="O4" i="3"/>
  <c r="O13" i="3" s="1"/>
  <c r="M24" i="3" l="1"/>
  <c r="N4" i="3"/>
  <c r="N13" i="3" s="1"/>
  <c r="L24" i="3" l="1"/>
  <c r="E169" i="2"/>
  <c r="L4" i="3"/>
  <c r="L13" i="3" s="1"/>
  <c r="F169" i="2" l="1"/>
  <c r="G169" i="2"/>
  <c r="H169" i="2"/>
  <c r="I169" i="2"/>
  <c r="J169" i="2"/>
  <c r="K169" i="2"/>
  <c r="L169" i="2"/>
  <c r="M169" i="2"/>
  <c r="N169" i="2"/>
  <c r="O169" i="2"/>
  <c r="F213" i="2"/>
  <c r="G213" i="2"/>
  <c r="H213" i="2"/>
  <c r="I213" i="2"/>
  <c r="J213" i="2"/>
  <c r="K213" i="2"/>
  <c r="L213" i="2"/>
  <c r="M213" i="2"/>
  <c r="N213" i="2"/>
  <c r="O213" i="2"/>
  <c r="E213" i="2"/>
  <c r="D213" i="2"/>
  <c r="H214" i="2" l="1"/>
  <c r="G214" i="2"/>
  <c r="O214" i="2"/>
  <c r="I214" i="2"/>
  <c r="N214" i="2"/>
  <c r="K214" i="2"/>
  <c r="J214" i="2"/>
  <c r="F214" i="2"/>
  <c r="M214" i="2"/>
  <c r="L214" i="2"/>
  <c r="D214" i="2"/>
  <c r="E214" i="2"/>
  <c r="E44" i="2" l="1"/>
  <c r="E13" i="2" s="1"/>
  <c r="F44" i="2"/>
  <c r="F13" i="2" s="1"/>
  <c r="G44" i="2"/>
  <c r="G13" i="2" s="1"/>
  <c r="H44" i="2"/>
  <c r="H13" i="2" s="1"/>
  <c r="I44" i="2"/>
  <c r="I13" i="2" s="1"/>
  <c r="J44" i="2"/>
  <c r="J13" i="2" s="1"/>
  <c r="K44" i="2"/>
  <c r="K13" i="2" s="1"/>
  <c r="L44" i="2"/>
  <c r="L13" i="2" s="1"/>
  <c r="M44" i="2"/>
  <c r="M13" i="2" s="1"/>
  <c r="N44" i="2"/>
  <c r="N13" i="2" s="1"/>
  <c r="O44" i="2"/>
  <c r="O13" i="2" s="1"/>
  <c r="D44" i="2"/>
  <c r="E34" i="2"/>
  <c r="E12" i="2" s="1"/>
  <c r="F34" i="2"/>
  <c r="F12" i="2" s="1"/>
  <c r="G34" i="2"/>
  <c r="G12" i="2" s="1"/>
  <c r="H34" i="2"/>
  <c r="H12" i="2" s="1"/>
  <c r="I34" i="2"/>
  <c r="I12" i="2" s="1"/>
  <c r="J34" i="2"/>
  <c r="J12" i="2" s="1"/>
  <c r="K34" i="2"/>
  <c r="K12" i="2" s="1"/>
  <c r="L34" i="2"/>
  <c r="L12" i="2" s="1"/>
  <c r="M34" i="2"/>
  <c r="M12" i="2" s="1"/>
  <c r="N34" i="2"/>
  <c r="O34" i="2"/>
  <c r="O12" i="2" s="1"/>
  <c r="D34" i="2"/>
  <c r="E24" i="2"/>
  <c r="F24" i="2"/>
  <c r="F11" i="2" s="1"/>
  <c r="G24" i="2"/>
  <c r="G11" i="2" s="1"/>
  <c r="H24" i="2"/>
  <c r="H11" i="2" s="1"/>
  <c r="I24" i="2"/>
  <c r="I11" i="2" s="1"/>
  <c r="J24" i="2"/>
  <c r="J11" i="2" s="1"/>
  <c r="K24" i="2"/>
  <c r="K11" i="2" s="1"/>
  <c r="K14" i="2" s="1"/>
  <c r="L24" i="2"/>
  <c r="L11" i="2" s="1"/>
  <c r="M24" i="2"/>
  <c r="M11" i="2" s="1"/>
  <c r="N24" i="2"/>
  <c r="N11" i="2" s="1"/>
  <c r="O24" i="2"/>
  <c r="O11" i="2" s="1"/>
  <c r="D11" i="2"/>
  <c r="Q44" i="2" l="1"/>
  <c r="R44" i="2" s="1"/>
  <c r="J14" i="2"/>
  <c r="I14" i="2"/>
  <c r="G14" i="2"/>
  <c r="D12" i="2"/>
  <c r="Q34" i="2"/>
  <c r="R34" i="2" s="1"/>
  <c r="D13" i="2"/>
  <c r="E11" i="2"/>
  <c r="Q24" i="2"/>
  <c r="R24" i="2" s="1"/>
  <c r="H14" i="2"/>
  <c r="N12" i="2"/>
  <c r="N14" i="2" s="1"/>
  <c r="M14" i="2"/>
  <c r="O14" i="2"/>
  <c r="L14" i="2"/>
  <c r="G180" i="2"/>
  <c r="J180" i="2"/>
  <c r="L180" i="2"/>
  <c r="M180" i="2"/>
  <c r="N180" i="2"/>
  <c r="O180" i="2"/>
  <c r="L16" i="3"/>
  <c r="M20" i="3"/>
  <c r="N20" i="3"/>
  <c r="O20" i="3"/>
  <c r="P20" i="3"/>
  <c r="Q20" i="3"/>
  <c r="R20" i="3"/>
  <c r="S20" i="3"/>
  <c r="T20" i="3"/>
  <c r="U20" i="3"/>
  <c r="V20" i="3"/>
  <c r="W20" i="3"/>
  <c r="L20" i="3"/>
  <c r="M16" i="3"/>
  <c r="N16" i="3"/>
  <c r="O16" i="3"/>
  <c r="P16" i="3"/>
  <c r="Q16" i="3"/>
  <c r="R16" i="3"/>
  <c r="S16" i="3"/>
  <c r="T16" i="3"/>
  <c r="V16" i="3"/>
  <c r="W16" i="3"/>
  <c r="M68" i="3"/>
  <c r="N68" i="3"/>
  <c r="O68" i="3"/>
  <c r="P68" i="3"/>
  <c r="Q68" i="3"/>
  <c r="R68" i="3"/>
  <c r="S68" i="3"/>
  <c r="T68" i="3"/>
  <c r="U68" i="3"/>
  <c r="V68" i="3"/>
  <c r="W68" i="3"/>
  <c r="L68" i="3"/>
  <c r="M64" i="3"/>
  <c r="N64" i="3"/>
  <c r="O64" i="3"/>
  <c r="P64" i="3"/>
  <c r="Q64" i="3"/>
  <c r="R64" i="3"/>
  <c r="S64" i="3"/>
  <c r="T64" i="3"/>
  <c r="U64" i="3"/>
  <c r="V64" i="3"/>
  <c r="W64" i="3"/>
  <c r="L64" i="3"/>
  <c r="M60" i="3"/>
  <c r="O60" i="3"/>
  <c r="P60" i="3"/>
  <c r="Q60" i="3"/>
  <c r="R60" i="3"/>
  <c r="S60" i="3"/>
  <c r="T60" i="3"/>
  <c r="U60" i="3"/>
  <c r="V60" i="3"/>
  <c r="W60" i="3"/>
  <c r="L60" i="3"/>
  <c r="M56" i="3"/>
  <c r="N56" i="3"/>
  <c r="O56" i="3"/>
  <c r="P56" i="3"/>
  <c r="Q56" i="3"/>
  <c r="R56" i="3"/>
  <c r="S56" i="3"/>
  <c r="T56" i="3"/>
  <c r="U56" i="3"/>
  <c r="V56" i="3"/>
  <c r="W56" i="3"/>
  <c r="L56" i="3"/>
  <c r="M52" i="3"/>
  <c r="N52" i="3"/>
  <c r="O52" i="3"/>
  <c r="P52" i="3"/>
  <c r="Q52" i="3"/>
  <c r="R52" i="3"/>
  <c r="S52" i="3"/>
  <c r="T52" i="3"/>
  <c r="U52" i="3"/>
  <c r="V52" i="3"/>
  <c r="W52" i="3"/>
  <c r="L52" i="3"/>
  <c r="M48" i="3"/>
  <c r="N48" i="3"/>
  <c r="O48" i="3"/>
  <c r="P48" i="3"/>
  <c r="Q48" i="3"/>
  <c r="R48" i="3"/>
  <c r="S48" i="3"/>
  <c r="T48" i="3"/>
  <c r="U48" i="3"/>
  <c r="V48" i="3"/>
  <c r="W48" i="3"/>
  <c r="L48" i="3"/>
  <c r="M44" i="3"/>
  <c r="N44" i="3"/>
  <c r="O44" i="3"/>
  <c r="P44" i="3"/>
  <c r="Q44" i="3"/>
  <c r="R44" i="3"/>
  <c r="S44" i="3"/>
  <c r="T44" i="3"/>
  <c r="U44" i="3"/>
  <c r="V44" i="3"/>
  <c r="W44" i="3"/>
  <c r="L44" i="3"/>
  <c r="M40" i="3"/>
  <c r="N40" i="3"/>
  <c r="O40" i="3"/>
  <c r="P40" i="3"/>
  <c r="Q40" i="3"/>
  <c r="R40" i="3"/>
  <c r="S40" i="3"/>
  <c r="T40" i="3"/>
  <c r="U40" i="3"/>
  <c r="V40" i="3"/>
  <c r="W40" i="3"/>
  <c r="L40" i="3"/>
  <c r="M36" i="3"/>
  <c r="N36" i="3"/>
  <c r="O36" i="3"/>
  <c r="P36" i="3"/>
  <c r="Q36" i="3"/>
  <c r="R36" i="3"/>
  <c r="S36" i="3"/>
  <c r="T36" i="3"/>
  <c r="U36" i="3"/>
  <c r="V36" i="3"/>
  <c r="W36" i="3"/>
  <c r="L36" i="3"/>
  <c r="M32" i="3"/>
  <c r="P32" i="3"/>
  <c r="Q32" i="3"/>
  <c r="R32" i="3"/>
  <c r="S32" i="3"/>
  <c r="T32" i="3"/>
  <c r="U32" i="3"/>
  <c r="V32" i="3"/>
  <c r="W32" i="3"/>
  <c r="L32" i="3"/>
  <c r="G199" i="2"/>
  <c r="G188" i="2" s="1"/>
  <c r="H199" i="2"/>
  <c r="H180" i="2" s="1"/>
  <c r="I199" i="2"/>
  <c r="J199" i="2"/>
  <c r="J188" i="2" s="1"/>
  <c r="K199" i="2"/>
  <c r="L199" i="2"/>
  <c r="L188" i="2" s="1"/>
  <c r="M199" i="2"/>
  <c r="N199" i="2"/>
  <c r="N188" i="2" s="1"/>
  <c r="O199" i="2"/>
  <c r="O188" i="2" s="1"/>
  <c r="G163" i="2"/>
  <c r="H163" i="2"/>
  <c r="I163" i="2"/>
  <c r="J163" i="2"/>
  <c r="K163" i="2"/>
  <c r="L163" i="2"/>
  <c r="M163" i="2"/>
  <c r="N163" i="2"/>
  <c r="O163" i="2"/>
  <c r="G147" i="2"/>
  <c r="H147" i="2"/>
  <c r="I147" i="2"/>
  <c r="J147" i="2"/>
  <c r="K147" i="2"/>
  <c r="L147" i="2"/>
  <c r="M147" i="2"/>
  <c r="N147" i="2"/>
  <c r="O147" i="2"/>
  <c r="G136" i="2"/>
  <c r="H136" i="2"/>
  <c r="I136" i="2"/>
  <c r="J136" i="2"/>
  <c r="K136" i="2"/>
  <c r="L136" i="2"/>
  <c r="M136" i="2"/>
  <c r="N136" i="2"/>
  <c r="O136" i="2"/>
  <c r="G125" i="2"/>
  <c r="G70" i="2" s="1"/>
  <c r="I125" i="2"/>
  <c r="I70" i="2" s="1"/>
  <c r="J125" i="2"/>
  <c r="J70" i="2" s="1"/>
  <c r="K125" i="2"/>
  <c r="K70" i="2" s="1"/>
  <c r="L125" i="2"/>
  <c r="L70" i="2" s="1"/>
  <c r="M125" i="2"/>
  <c r="M70" i="2" s="1"/>
  <c r="N125" i="2"/>
  <c r="N70" i="2" s="1"/>
  <c r="O125" i="2"/>
  <c r="O70" i="2" s="1"/>
  <c r="G114" i="2"/>
  <c r="H114" i="2"/>
  <c r="I114" i="2"/>
  <c r="J114" i="2"/>
  <c r="K114" i="2"/>
  <c r="L114" i="2"/>
  <c r="M114" i="2"/>
  <c r="M69" i="2" s="1"/>
  <c r="N114" i="2"/>
  <c r="O114" i="2"/>
  <c r="G94" i="2"/>
  <c r="G68" i="2" s="1"/>
  <c r="H94" i="2"/>
  <c r="H68" i="2" s="1"/>
  <c r="I94" i="2"/>
  <c r="J94" i="2"/>
  <c r="J68" i="2" s="1"/>
  <c r="K94" i="2"/>
  <c r="K68" i="2" s="1"/>
  <c r="L94" i="2"/>
  <c r="L68" i="2" s="1"/>
  <c r="M94" i="2"/>
  <c r="M68" i="2" s="1"/>
  <c r="N94" i="2"/>
  <c r="N68" i="2" s="1"/>
  <c r="G81" i="2"/>
  <c r="O28" i="3" s="1"/>
  <c r="H81" i="2"/>
  <c r="P28" i="3" s="1"/>
  <c r="I81" i="2"/>
  <c r="Q28" i="3" s="1"/>
  <c r="J81" i="2"/>
  <c r="R28" i="3" s="1"/>
  <c r="K81" i="2"/>
  <c r="S28" i="3" s="1"/>
  <c r="L81" i="2"/>
  <c r="T28" i="3" s="1"/>
  <c r="M81" i="2"/>
  <c r="U28" i="3" s="1"/>
  <c r="N81" i="2"/>
  <c r="V28" i="3" s="1"/>
  <c r="O81" i="2"/>
  <c r="W28" i="3" s="1"/>
  <c r="G8" i="2"/>
  <c r="H8" i="2"/>
  <c r="I8" i="2"/>
  <c r="J8" i="2"/>
  <c r="R8" i="3" s="1"/>
  <c r="K8" i="2"/>
  <c r="L8" i="2"/>
  <c r="T8" i="3" s="1"/>
  <c r="M8" i="2"/>
  <c r="N8" i="2"/>
  <c r="E94" i="2"/>
  <c r="F94" i="2"/>
  <c r="F68" i="2" s="1"/>
  <c r="D94" i="2"/>
  <c r="R11" i="2" l="1"/>
  <c r="R13" i="2"/>
  <c r="E68" i="2"/>
  <c r="R94" i="2"/>
  <c r="S94" i="2" s="1"/>
  <c r="D14" i="2"/>
  <c r="R12" i="2"/>
  <c r="N120" i="2"/>
  <c r="N69" i="2"/>
  <c r="L120" i="2"/>
  <c r="L69" i="2"/>
  <c r="L71" i="2" s="1"/>
  <c r="D68" i="2"/>
  <c r="K120" i="2"/>
  <c r="K69" i="2"/>
  <c r="I100" i="2"/>
  <c r="I68" i="2"/>
  <c r="J120" i="2"/>
  <c r="J69" i="2"/>
  <c r="E100" i="2"/>
  <c r="I120" i="2"/>
  <c r="I69" i="2"/>
  <c r="H120" i="2"/>
  <c r="H69" i="2"/>
  <c r="O120" i="2"/>
  <c r="O69" i="2"/>
  <c r="G120" i="2"/>
  <c r="G69" i="2"/>
  <c r="T14" i="3"/>
  <c r="R14" i="3"/>
  <c r="M120" i="2"/>
  <c r="L100" i="2"/>
  <c r="M100" i="2"/>
  <c r="G100" i="2"/>
  <c r="F100" i="2"/>
  <c r="K188" i="2"/>
  <c r="K180" i="2"/>
  <c r="K100" i="2"/>
  <c r="H100" i="2"/>
  <c r="J100" i="2"/>
  <c r="S8" i="3"/>
  <c r="S14" i="3" s="1"/>
  <c r="Q8" i="3"/>
  <c r="Q14" i="3" s="1"/>
  <c r="I188" i="2"/>
  <c r="I180" i="2"/>
  <c r="O8" i="3"/>
  <c r="O14" i="3" s="1"/>
  <c r="P8" i="3"/>
  <c r="P14" i="3" s="1"/>
  <c r="W8" i="3"/>
  <c r="W14" i="3" s="1"/>
  <c r="V8" i="3"/>
  <c r="V14" i="3" s="1"/>
  <c r="U8" i="3"/>
  <c r="U14" i="3" s="1"/>
  <c r="C84" i="2" a="1"/>
  <c r="C84" i="2" s="1"/>
  <c r="E81" i="2"/>
  <c r="F81" i="2"/>
  <c r="D81" i="2"/>
  <c r="F163" i="2"/>
  <c r="P163" i="2" s="1"/>
  <c r="E163" i="2"/>
  <c r="D163" i="2"/>
  <c r="B48" i="3"/>
  <c r="C48" i="4" l="1"/>
  <c r="L28" i="3"/>
  <c r="R68" i="2"/>
  <c r="B48" i="4"/>
  <c r="K71" i="2"/>
  <c r="O71" i="2"/>
  <c r="G71" i="2"/>
  <c r="M71" i="2"/>
  <c r="N71" i="2"/>
  <c r="D100" i="2"/>
  <c r="J71" i="2"/>
  <c r="H71" i="2"/>
  <c r="I71" i="2"/>
  <c r="M28" i="3"/>
  <c r="N28" i="3"/>
  <c r="J67" i="4"/>
  <c r="H67" i="4"/>
  <c r="F67" i="4"/>
  <c r="D67" i="4"/>
  <c r="B67" i="4"/>
  <c r="N52" i="4"/>
  <c r="N51" i="4"/>
  <c r="N50" i="4"/>
  <c r="N47" i="4"/>
  <c r="N42" i="4"/>
  <c r="N41" i="4"/>
  <c r="N40" i="4"/>
  <c r="N39" i="4"/>
  <c r="N33" i="4"/>
  <c r="N32" i="4"/>
  <c r="N31" i="4"/>
  <c r="N30" i="4"/>
  <c r="N29" i="4"/>
  <c r="N25" i="4"/>
  <c r="N24" i="4"/>
  <c r="N23" i="4"/>
  <c r="N22" i="4"/>
  <c r="N21" i="4"/>
  <c r="N16" i="4"/>
  <c r="N15" i="4"/>
  <c r="N14" i="4"/>
  <c r="N13" i="4"/>
  <c r="N8" i="4"/>
  <c r="N7" i="4"/>
  <c r="N6" i="4"/>
  <c r="N5" i="4"/>
  <c r="Q100" i="2" l="1"/>
  <c r="R100" i="2" s="1"/>
  <c r="N43" i="4"/>
  <c r="F8" i="2"/>
  <c r="N8" i="3" l="1"/>
  <c r="N14" i="3" s="1"/>
  <c r="A32" i="3"/>
  <c r="E125" i="2" l="1"/>
  <c r="F125" i="2"/>
  <c r="D125" i="2"/>
  <c r="E114" i="2"/>
  <c r="F114" i="2"/>
  <c r="D114" i="2"/>
  <c r="C88" i="2" a="1"/>
  <c r="C88" i="2" s="1"/>
  <c r="C89" i="2" a="1"/>
  <c r="C89" i="2" s="1"/>
  <c r="C90" i="2" a="1"/>
  <c r="C90" i="2" s="1"/>
  <c r="C91" i="2" a="1"/>
  <c r="C91" i="2" s="1"/>
  <c r="C92" i="2" a="1"/>
  <c r="C92" i="2" s="1"/>
  <c r="C93" i="2" a="1"/>
  <c r="C93" i="2" s="1"/>
  <c r="C87" i="2" a="1"/>
  <c r="C87" i="2" s="1"/>
  <c r="C86" i="2" a="1"/>
  <c r="C86" i="2" s="1"/>
  <c r="C85" i="2" a="1"/>
  <c r="C85" i="2" s="1"/>
  <c r="H16" i="1"/>
  <c r="H14" i="1"/>
  <c r="H11" i="1"/>
  <c r="B68" i="3"/>
  <c r="B64" i="3"/>
  <c r="B56" i="3"/>
  <c r="B52" i="3"/>
  <c r="B44" i="3"/>
  <c r="B40" i="3"/>
  <c r="B32" i="3"/>
  <c r="B36" i="3"/>
  <c r="B28" i="3"/>
  <c r="A68" i="3"/>
  <c r="A64" i="3"/>
  <c r="A60" i="3"/>
  <c r="A48" i="3"/>
  <c r="A44" i="3"/>
  <c r="A40" i="3"/>
  <c r="A36" i="3"/>
  <c r="A28" i="3"/>
  <c r="A24" i="3"/>
  <c r="A20" i="3"/>
  <c r="A16" i="3"/>
  <c r="A12" i="3"/>
  <c r="A8" i="3"/>
  <c r="A4" i="3"/>
  <c r="B163" i="2"/>
  <c r="B70" i="2" a="1"/>
  <c r="B70" i="2" s="1"/>
  <c r="Q70" i="2" s="1"/>
  <c r="B69" i="2" a="1"/>
  <c r="B69" i="2" s="1"/>
  <c r="Q69" i="2" s="1"/>
  <c r="B68" i="2" a="1"/>
  <c r="B68" i="2" s="1"/>
  <c r="A70" i="2"/>
  <c r="A68" i="2"/>
  <c r="F14" i="2"/>
  <c r="E14" i="2"/>
  <c r="B13" i="2" a="1"/>
  <c r="B13" i="2" s="1"/>
  <c r="B12" i="2" a="1"/>
  <c r="B12" i="2" s="1"/>
  <c r="B11" i="2" a="1"/>
  <c r="B11" i="2" s="1"/>
  <c r="A13" i="2"/>
  <c r="A12" i="2"/>
  <c r="A11" i="2"/>
  <c r="B6" i="2" a="1"/>
  <c r="B6" i="2" s="1"/>
  <c r="P6" i="2" s="1"/>
  <c r="A7" i="2"/>
  <c r="A6" i="2"/>
  <c r="B5" i="2" a="1"/>
  <c r="B5" i="2" s="1"/>
  <c r="P5" i="2" s="1"/>
  <c r="A5" i="2"/>
  <c r="C62" i="1"/>
  <c r="F70" i="2" l="1"/>
  <c r="P123" i="2"/>
  <c r="E70" i="2"/>
  <c r="R125" i="2"/>
  <c r="S125" i="2" s="1"/>
  <c r="R114" i="2"/>
  <c r="S114" i="2" s="1"/>
  <c r="Q68" i="2"/>
  <c r="S68" i="2" s="1"/>
  <c r="Q6" i="2"/>
  <c r="S6" i="2" s="1"/>
  <c r="Q11" i="2"/>
  <c r="S11" i="2" s="1"/>
  <c r="Q5" i="2"/>
  <c r="S5" i="2" s="1"/>
  <c r="Q12" i="2"/>
  <c r="S12" i="2" s="1"/>
  <c r="Q13" i="2"/>
  <c r="S13" i="2" s="1"/>
  <c r="D70" i="2"/>
  <c r="D69" i="2"/>
  <c r="F120" i="2"/>
  <c r="F69" i="2"/>
  <c r="E120" i="2"/>
  <c r="E69" i="2"/>
  <c r="D120" i="2"/>
  <c r="B71" i="2"/>
  <c r="Q71" i="2" s="1"/>
  <c r="B14" i="2"/>
  <c r="R14" i="2"/>
  <c r="C49" i="4" l="1"/>
  <c r="Q14" i="2"/>
  <c r="S14" i="2" s="1"/>
  <c r="Q120" i="2"/>
  <c r="R120" i="2" s="1"/>
  <c r="R69" i="2"/>
  <c r="S69" i="2" s="1"/>
  <c r="R70" i="2"/>
  <c r="S70" i="2" s="1"/>
  <c r="B49" i="4"/>
  <c r="F71" i="2"/>
  <c r="N48" i="4"/>
  <c r="E71" i="2"/>
  <c r="D71" i="2"/>
  <c r="R71" i="2" l="1"/>
  <c r="S71" i="2" s="1"/>
  <c r="N49" i="4"/>
  <c r="D199" i="2" l="1"/>
  <c r="E199" i="2"/>
  <c r="F199" i="2"/>
  <c r="D8" i="2"/>
  <c r="E8" i="2"/>
  <c r="F147" i="2"/>
  <c r="P147" i="2" s="1"/>
  <c r="E147" i="2"/>
  <c r="D147" i="2"/>
  <c r="B147" i="2"/>
  <c r="Q147" i="2" s="1"/>
  <c r="F136" i="2"/>
  <c r="E136" i="2"/>
  <c r="D136" i="2"/>
  <c r="B136" i="2"/>
  <c r="Q136" i="2" s="1"/>
  <c r="B8" i="2"/>
  <c r="Q8" i="2" l="1"/>
  <c r="P8" i="2"/>
  <c r="R136" i="2"/>
  <c r="S136" i="2" s="1"/>
  <c r="R147" i="2"/>
  <c r="S147" i="2" s="1"/>
  <c r="R8" i="2"/>
  <c r="S8" i="2" s="1"/>
  <c r="D180" i="2"/>
  <c r="D188" i="2"/>
  <c r="B75" i="4"/>
  <c r="L10" i="3"/>
  <c r="L8" i="3" s="1"/>
  <c r="F180" i="2"/>
  <c r="F188" i="2"/>
  <c r="E180" i="2"/>
  <c r="E188" i="2"/>
  <c r="S155" i="2"/>
  <c r="P180" i="2" l="1"/>
  <c r="L14" i="3"/>
  <c r="B17" i="4"/>
  <c r="S159" i="2"/>
  <c r="S156" i="2"/>
  <c r="S154" i="2"/>
  <c r="S160" i="2"/>
  <c r="S153" i="2"/>
  <c r="S157" i="2"/>
  <c r="S161" i="2"/>
  <c r="S158" i="2"/>
  <c r="S162" i="2"/>
  <c r="S163" i="2" l="1"/>
  <c r="N34" i="4"/>
  <c r="M4" i="3"/>
  <c r="M13" i="3" s="1"/>
  <c r="M8" i="3"/>
  <c r="M14" i="3" s="1"/>
  <c r="N17" i="4" l="1"/>
  <c r="N9" i="4"/>
  <c r="H188" i="2"/>
  <c r="M18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<sst xmlns="http://schemas.openxmlformats.org/spreadsheetml/2006/main" count="991" uniqueCount="318">
  <si>
    <t xml:space="preserve"> Hospital Regional de Luziânia </t>
  </si>
  <si>
    <t>CNES</t>
  </si>
  <si>
    <t>PROCESSO  MÃE:</t>
  </si>
  <si>
    <t>Número do contrato</t>
  </si>
  <si>
    <t xml:space="preserve">Contrato nº 45/2022-SES/GO </t>
  </si>
  <si>
    <t>Termo Aditivo</t>
  </si>
  <si>
    <t>Vigência</t>
  </si>
  <si>
    <t>48 meses a partir de 13/06/2022</t>
  </si>
  <si>
    <t>OBJETO DO CONTRATO</t>
  </si>
  <si>
    <t xml:space="preserve">1.1 Presente CONTRATO DE GESTÃO, por meio de fomento público, tem por objeto a formação de parceria com vistas ao fomento, gerenciamento, operacionalização e à execução das atividades do HOSPITAL ESTADUAL DE LUZIÂNIA, por período de 48 (quarenta e oito) meses , nos termos do que se encontra detalhado no Anexo Técnico e na Proposta de Trabalho, considerados partes integrantes deste instrumento, para todos os efeitos legais, independentemente de transcrição.
</t>
  </si>
  <si>
    <t>1.2 - Este CONTRATO DE GESTÃO¸ como instrumento de natureza colaborativa, deverá ser executado de forma a garantir eficiência econômica, administrativa, operacional e de resultados, conferindo eficácia à ação governamental, efetividade às diretrizes e às políticas públicas na área da Saúde), com fundamento no disposto na Constituição Federal, na Constituição do Estado de Goiás, na Lei estadual nº 15.503, de 28 de dezembro de 2005 e demais disposições legais pertinentes à matéria.</t>
  </si>
  <si>
    <t>INDICADORES E METAS DE PRODUÇÃO</t>
  </si>
  <si>
    <t>Meta mensal</t>
  </si>
  <si>
    <t>Internações hospitalares</t>
  </si>
  <si>
    <t>Saídas de Clinica Médica</t>
  </si>
  <si>
    <t xml:space="preserve">Saídas Cirúrgica Programadas </t>
  </si>
  <si>
    <t>SADT</t>
  </si>
  <si>
    <t>Colonoscopia</t>
  </si>
  <si>
    <t>Ecocardiograma</t>
  </si>
  <si>
    <t>Endoscopia</t>
  </si>
  <si>
    <t>Raio X</t>
  </si>
  <si>
    <t>USG</t>
  </si>
  <si>
    <t xml:space="preserve">INDICADORES DE DESEMPENHO </t>
  </si>
  <si>
    <t>METAS DE DESEMPENHO</t>
  </si>
  <si>
    <t>META MENSAL</t>
  </si>
  <si>
    <t>≥85 %</t>
  </si>
  <si>
    <t>≤ 4 dias</t>
  </si>
  <si>
    <t>&lt; 5%</t>
  </si>
  <si>
    <t>≤ 15%</t>
  </si>
  <si>
    <t>≥ 70%</t>
  </si>
  <si>
    <t>CAPACIDADE INSTALADA (LEITOS)</t>
  </si>
  <si>
    <t>Descrição</t>
  </si>
  <si>
    <t>Quantitativo</t>
  </si>
  <si>
    <t>Enfermaria adulto clinica</t>
  </si>
  <si>
    <t>Enfermaria adulto cirúrgica</t>
  </si>
  <si>
    <t>Enfermaria obstétrica</t>
  </si>
  <si>
    <t>Total de Leitos</t>
  </si>
  <si>
    <t>Centro  Cirúrgico</t>
  </si>
  <si>
    <t>Consultório  Médico na emergência</t>
  </si>
  <si>
    <t>Box de observação</t>
  </si>
  <si>
    <t>Box de estabilização</t>
  </si>
  <si>
    <t>Valor do repasse</t>
  </si>
  <si>
    <t>Indicadores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</si>
  <si>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</si>
  <si>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</si>
  <si>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</si>
  <si>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</si>
  <si>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</si>
  <si>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</si>
  <si>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</si>
  <si>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</si>
  <si>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</si>
  <si>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</si>
  <si>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</si>
  <si>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</si>
  <si>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Contratado </t>
  </si>
  <si>
    <t xml:space="preserve">Realizado </t>
  </si>
  <si>
    <t xml:space="preserve">Eficácia </t>
  </si>
  <si>
    <t>Cirurgias</t>
  </si>
  <si>
    <t>Total</t>
  </si>
  <si>
    <t>Sem meta</t>
  </si>
  <si>
    <t>Atendimento ambulatorial</t>
  </si>
  <si>
    <t>Fisioterapia</t>
  </si>
  <si>
    <t>SADT Externo  (Ofertado)</t>
  </si>
  <si>
    <t xml:space="preserve">Eletrocardiograma </t>
  </si>
  <si>
    <t>Tomografia</t>
  </si>
  <si>
    <t>USG/Doppler</t>
  </si>
  <si>
    <t>SADT Externo (Realizado)</t>
  </si>
  <si>
    <t>Acolhimento, Avaliação e Classificação de Risco</t>
  </si>
  <si>
    <t>Vermelho</t>
  </si>
  <si>
    <t>Laranja</t>
  </si>
  <si>
    <t>Amarelo</t>
  </si>
  <si>
    <t>Verde</t>
  </si>
  <si>
    <t>Azul</t>
  </si>
  <si>
    <t xml:space="preserve">SOMENTE PARA EFEITO DE MONITORAMENTO </t>
  </si>
  <si>
    <t xml:space="preserve">Especialidades médicas para porta de entrada </t>
  </si>
  <si>
    <t xml:space="preserve">Cirurgia Geral </t>
  </si>
  <si>
    <t xml:space="preserve">Clínica Médica </t>
  </si>
  <si>
    <t xml:space="preserve">Ginecologia/Obstetrícia  </t>
  </si>
  <si>
    <t xml:space="preserve">Ortopedia e traumatologia </t>
  </si>
  <si>
    <t>Total de paciente - dia no período</t>
  </si>
  <si>
    <t>≤4 (Dias)</t>
  </si>
  <si>
    <t>Total de saídas no período</t>
  </si>
  <si>
    <t>Média de permanência</t>
  </si>
  <si>
    <t>Nº de retorno em até 48 hs</t>
  </si>
  <si>
    <t>Nº total de saídas da UTI por alta</t>
  </si>
  <si>
    <t>≤ 20</t>
  </si>
  <si>
    <t>Nº de pacientes readmitidos de 0 a 29 dias</t>
  </si>
  <si>
    <t>Nº total de internações  hospitalares</t>
  </si>
  <si>
    <t>Total de procedimentos rejeitados no SIH</t>
  </si>
  <si>
    <t>Total de procedimentos apresentados no SIH</t>
  </si>
  <si>
    <t>Nº  de cirurgias programadas</t>
  </si>
  <si>
    <t>Fonoaudiologia</t>
  </si>
  <si>
    <t>1º, 01-10-2024</t>
  </si>
  <si>
    <t>Saídas Cirúrgicas</t>
  </si>
  <si>
    <t>Saídas Obstétricas</t>
  </si>
  <si>
    <t>Cirurgias Eletivas</t>
  </si>
  <si>
    <t>Cirurgia Eletiva Hospitalar de Alto Giro</t>
  </si>
  <si>
    <t>Cirurgia Eletiva de Alto Custo</t>
  </si>
  <si>
    <t>Cirurgia Eletiva Hospitalar de Média ou Alta Complexidade</t>
  </si>
  <si>
    <t>Consulta médica na Atenção Especialziada</t>
  </si>
  <si>
    <t>Consulta Multiprofissionais</t>
  </si>
  <si>
    <t>Procedimentos Ambulatoriais</t>
  </si>
  <si>
    <t>Eletrocardiograma</t>
  </si>
  <si>
    <t>Radiografia</t>
  </si>
  <si>
    <t>Tomografia Computadorizada</t>
  </si>
  <si>
    <t>Ultrassonografia / Doppler</t>
  </si>
  <si>
    <t>Ultrassonografia</t>
  </si>
  <si>
    <t>≤ 24</t>
  </si>
  <si>
    <t>&lt;20%</t>
  </si>
  <si>
    <t>≤ 7%</t>
  </si>
  <si>
    <t>≤5%</t>
  </si>
  <si>
    <t>Tipo</t>
  </si>
  <si>
    <t>Leito</t>
  </si>
  <si>
    <t>UTI Adulto</t>
  </si>
  <si>
    <t>RPA CC</t>
  </si>
  <si>
    <t>RPA CO</t>
  </si>
  <si>
    <t>Centro Obstétrico</t>
  </si>
  <si>
    <t>Escritório de Alta</t>
  </si>
  <si>
    <t>Sala de medicação</t>
  </si>
  <si>
    <t>Contultorio Ambulatorial</t>
  </si>
  <si>
    <t>&lt; 25%</t>
  </si>
  <si>
    <t>&lt; 10%</t>
  </si>
  <si>
    <t>≥ 80%</t>
  </si>
  <si>
    <t>≥ 90%</t>
  </si>
  <si>
    <t>≤ 2%</t>
  </si>
  <si>
    <t>Pronto Socorro</t>
  </si>
  <si>
    <t>Pronto Socorro Obstétrico</t>
  </si>
  <si>
    <t>Escritório de Gestão de Alta</t>
  </si>
  <si>
    <t>Agencia Transufsional</t>
  </si>
  <si>
    <t>Análises Clinicas</t>
  </si>
  <si>
    <t>Anatomia Patológica</t>
  </si>
  <si>
    <t>Hemodiálise</t>
  </si>
  <si>
    <t>Psicologia</t>
  </si>
  <si>
    <t>127 (43 cesarea, 64 natural. 20 cirurgias para atendimento de )</t>
  </si>
  <si>
    <t>1. Taxa de Ocupação Hospitalar (TOH)</t>
  </si>
  <si>
    <t>2. Taxa Média / Tempo Médio de Permanência Hospitalar (TMP)</t>
  </si>
  <si>
    <t>3. Índice de Intervalo de Substituição (Horas)</t>
  </si>
  <si>
    <t>4. Taxa de readmissão em UTI (48h)</t>
  </si>
  <si>
    <t>5. Taxa de readmissão hospitalar (29d)</t>
  </si>
  <si>
    <t>6. Percentual de ocorrência de glosas no SIH -Datasus (exceto por motivo de habilitaçaõ e capacidade instalada)</t>
  </si>
  <si>
    <t>7. Percentual de suspensão de cirurgias eletivas por condições operacionais</t>
  </si>
  <si>
    <t>8. Percentual de cirurgias eletivas realizadas com TMAT (Tempo máximo aceitável para tratamento) expirado (↓) para o primeiro ano-</t>
  </si>
  <si>
    <t>9. Percentual de cirurgias eletivas realizadas com TMAT (Tempo máximo aceitável para tratamento) expirado (↓) para o segundo ano</t>
  </si>
  <si>
    <t>10. Percentual de partos cesáreos</t>
  </si>
  <si>
    <t>11. Taxa de aplicação da escala de Robson nas parturientes submetidas á cesária</t>
  </si>
  <si>
    <t>12. Percentual de Exames de imagem com resultado liberado em até 72 horas</t>
  </si>
  <si>
    <t>13. Percentual de Casos de Doenças/Agravos/Eventos de Notificação Compulsório Imediata (DAEI) Digitadas Oportunamente - até 7 dias</t>
  </si>
  <si>
    <t>14. Percentual de Casos de Doenças/Agravos/Eventos de Notificação Compulsório Imediata (DAEI) Investigadas Oportunamente - até 48 horas da data da notificação</t>
  </si>
  <si>
    <t>15. Taxa de acurácia do estoque</t>
  </si>
  <si>
    <t>16. Taxa de perda financeira por vencimento de medicamentos</t>
  </si>
  <si>
    <t>17. Taxa de aceitabilidade das intervenções farmacêuticas</t>
  </si>
  <si>
    <t>Cardiologia (Risco Cirúrgico)</t>
  </si>
  <si>
    <t>Cirurgia Geral</t>
  </si>
  <si>
    <t>Gastroenterologia</t>
  </si>
  <si>
    <t>Ginecologia</t>
  </si>
  <si>
    <t>Infectologia (VVS)</t>
  </si>
  <si>
    <t>Ortopedia e Traumatologia</t>
  </si>
  <si>
    <t>Proctologia</t>
  </si>
  <si>
    <t>Urologia</t>
  </si>
  <si>
    <t>Angiologia (C. Vascular)</t>
  </si>
  <si>
    <t>Anestesiologista (Risco Cirúrgico)</t>
  </si>
  <si>
    <t>Fonoterapia</t>
  </si>
  <si>
    <t>Terapia ocupacional</t>
  </si>
  <si>
    <t>Enfermeiro</t>
  </si>
  <si>
    <t>Nutricionista</t>
  </si>
  <si>
    <t>Serviço social</t>
  </si>
  <si>
    <t>Farmácia</t>
  </si>
  <si>
    <t>Farmácia – VVS</t>
  </si>
  <si>
    <t>Psicologia – VVS</t>
  </si>
  <si>
    <t>Serviço social – VVS</t>
  </si>
  <si>
    <t>Geral</t>
  </si>
  <si>
    <t>Frenotomias</t>
  </si>
  <si>
    <t xml:space="preserve">Número de cirurgias realizadas com TMAT expirado </t>
  </si>
  <si>
    <t>Número de cirurgias eletivas em lista de espera e encaminhado para unidade</t>
  </si>
  <si>
    <t>Nº de casos de DAEI digitadas em tempo oportuno - até 7 dias</t>
  </si>
  <si>
    <t>Total de atendimentos realizados mensalmente</t>
  </si>
  <si>
    <t>Nº de casos de DAEI investigadas em tempo oportuno - até 48 horas da data da notificação</t>
  </si>
  <si>
    <t xml:space="preserve">Nº de casos de DAEI notificadas (no período/mês) </t>
  </si>
  <si>
    <t>Nº de cirurgias programadas suspensas</t>
  </si>
  <si>
    <t>Taxa de ocupação</t>
  </si>
  <si>
    <t>Nº de cesáreas  realizadas</t>
  </si>
  <si>
    <t>Total de partos realizados</t>
  </si>
  <si>
    <t>Nº de parturientes a submetidas cesárea classificados pela escala de Robson no mês</t>
  </si>
  <si>
    <t>Total de parturientes submetidos á cesárea no mês</t>
  </si>
  <si>
    <t>-</t>
  </si>
  <si>
    <t>Unidade de Internação</t>
  </si>
  <si>
    <t>TAXA DE OCUPAÇÃO (%) POR CLÍNICA</t>
  </si>
  <si>
    <t>Média período</t>
  </si>
  <si>
    <t>Enfermaria adulto Cirúrgico</t>
  </si>
  <si>
    <t>UTI</t>
  </si>
  <si>
    <t>Geral*</t>
  </si>
  <si>
    <t>TEMPO MÉDIO DE PERMANÊNCIA (DIAS) POR CLÍNICA</t>
  </si>
  <si>
    <t>ÍNDICE DE INTERVALO DE SUBSTITUIÇÃO</t>
  </si>
  <si>
    <t>RH</t>
  </si>
  <si>
    <t>Número de Funcionários e Leitos Operacionais</t>
  </si>
  <si>
    <t>Número de  enfermeiro (Todos os vínculos)</t>
  </si>
  <si>
    <t>Número de 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</si>
  <si>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</si>
  <si>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</si>
  <si>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</si>
  <si>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</si>
  <si>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</si>
  <si>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</si>
  <si>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</si>
  <si>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</si>
  <si>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Turnover (%)</t>
  </si>
  <si>
    <t>% de médicos(as) especialistas</t>
  </si>
  <si>
    <t>Total do Período</t>
  </si>
  <si>
    <t>Taxa de Perda Primária (%)</t>
  </si>
  <si>
    <t>Consultas Médicas</t>
  </si>
  <si>
    <t>Não Médicas</t>
  </si>
  <si>
    <t>Taxa de Absenteísmo (%)Consulta Médica</t>
  </si>
  <si>
    <t>Taxa de Absenteísmo Consultas Não Médicas</t>
  </si>
  <si>
    <t>Profissão</t>
  </si>
  <si>
    <t>Estatutário</t>
  </si>
  <si>
    <t>Celetista</t>
  </si>
  <si>
    <t>Biomédico</t>
  </si>
  <si>
    <t>N/A</t>
  </si>
  <si>
    <t>Cirurgião -Dentista</t>
  </si>
  <si>
    <t>Fisioterapeuta</t>
  </si>
  <si>
    <t>Médico</t>
  </si>
  <si>
    <t>Técnico em Enfermagem</t>
  </si>
  <si>
    <t>Auxiliar de Enfermagem</t>
  </si>
  <si>
    <t>Auxiliar de Farmácia</t>
  </si>
  <si>
    <t>Técnico em Laboratório</t>
  </si>
  <si>
    <t>Outros</t>
  </si>
  <si>
    <r>
      <rPr>
        <b/>
        <sz val="12"/>
        <color rgb="FF000000"/>
        <rFont val="Arial"/>
        <family val="2"/>
        <charset val="1"/>
      </rPr>
      <t>Observação 01:</t>
    </r>
    <r>
      <rPr>
        <sz val="12"/>
        <color rgb="FF000000"/>
        <rFont val="Arial"/>
        <family val="2"/>
        <charset val="1"/>
      </rPr>
      <t xml:space="preserve"> A taxa de absenteísmo GERAL corresponde a todos os profissionais da unidade;
</t>
    </r>
    <r>
      <rPr>
        <b/>
        <sz val="12"/>
        <color rgb="FF000000"/>
        <rFont val="Arial"/>
        <family val="2"/>
        <charset val="1"/>
      </rPr>
      <t xml:space="preserve">Observação 02: </t>
    </r>
    <r>
      <rPr>
        <sz val="12"/>
        <color rgb="FF000000"/>
        <rFont val="Arial"/>
        <family val="2"/>
        <charset val="1"/>
      </rPr>
      <t xml:space="preserve">Nos campos onde foram considerados o "Não se aplica (S/N)" se tratam de colaboradores terceiros, onde acontece a reposição caso o mesmo venha a faltar. </t>
    </r>
  </si>
  <si>
    <t>Total de Saídas</t>
  </si>
  <si>
    <t>Total de Óbitos no mês</t>
  </si>
  <si>
    <t>Total de mortalidade global</t>
  </si>
  <si>
    <t>Total de óbito (&gt;24Hs)</t>
  </si>
  <si>
    <t>Total de óbito (&lt;24hs)</t>
  </si>
  <si>
    <t>Total de mortalidade operatória</t>
  </si>
  <si>
    <t>Taxa de cirurgia de Urgência</t>
  </si>
  <si>
    <t>FRANCISCO AMUD - DIRETOR GERAL HEL</t>
  </si>
  <si>
    <t>Número de exames de imagem liberados em até 72 horas</t>
  </si>
  <si>
    <t xml:space="preserve"> total de exames de imagem liberados no período mulplicado] X 100.</t>
  </si>
  <si>
    <t xml:space="preserve"> [Número total de itens contados em conformidade / </t>
  </si>
  <si>
    <t>Número total de itens padronizados cadastrados no sistema] x 100</t>
  </si>
  <si>
    <t>Valor financeiro de perda de medicamentos padronizados por validade expirada (R$)</t>
  </si>
  <si>
    <t>Número de intervenções aceitas</t>
  </si>
  <si>
    <t>Número absoluto de intervenções registradas que requer aceitação</t>
  </si>
  <si>
    <t>Internações (Saídas Hospitalares)</t>
  </si>
  <si>
    <t>Cirurgias Programadas – por especialidades</t>
  </si>
  <si>
    <t>Produção</t>
  </si>
  <si>
    <t>Ortopedia</t>
  </si>
  <si>
    <t xml:space="preserve">Vascular </t>
  </si>
  <si>
    <t>Meta 1º TA</t>
  </si>
  <si>
    <t>Ambulatório</t>
  </si>
  <si>
    <t>Consulta de Multi profissionais na atenção especializada</t>
  </si>
  <si>
    <t>Consultas médicas por especialidade</t>
  </si>
  <si>
    <t>Consultas Multi profissionais por especialidade</t>
  </si>
  <si>
    <t>Procedimentos ambulatoriais por especialidades</t>
  </si>
  <si>
    <t>Saídas da UTI</t>
  </si>
  <si>
    <t xml:space="preserve">Meta 1° TA </t>
  </si>
  <si>
    <t>Alta</t>
  </si>
  <si>
    <t>Óbito</t>
  </si>
  <si>
    <t>Atendimento de Urgência e Emergência</t>
  </si>
  <si>
    <t>Demanda espontânea</t>
  </si>
  <si>
    <t>Atender 100% da demanda</t>
  </si>
  <si>
    <t>Regulados</t>
  </si>
  <si>
    <t xml:space="preserve">Atender todos os casos de urgência/emergência, espontâneos e regulados </t>
  </si>
  <si>
    <t>Quantidade de pacientes atendidos</t>
  </si>
  <si>
    <t>≥ 95%</t>
  </si>
  <si>
    <t xml:space="preserve">Janeiro </t>
  </si>
  <si>
    <t xml:space="preserve">Informações </t>
  </si>
  <si>
    <t>Transferencia externa</t>
  </si>
  <si>
    <t>Cirurgia Eletiva Hospitalar 
de Alto Giro</t>
  </si>
  <si>
    <t>Meta</t>
  </si>
  <si>
    <t>C. Vascular</t>
  </si>
  <si>
    <t>SADT Interno</t>
  </si>
  <si>
    <t>Meta
(Controle)</t>
  </si>
  <si>
    <t>AMIU</t>
  </si>
  <si>
    <t xml:space="preserve">Normal </t>
  </si>
  <si>
    <t>Cesárea</t>
  </si>
  <si>
    <t>Extra Hospitalar</t>
  </si>
  <si>
    <t>Total de Partos</t>
  </si>
  <si>
    <t>Cirurgias Obstétricas</t>
  </si>
  <si>
    <t>Laqueadura</t>
  </si>
  <si>
    <t>Gravidez Ectópica</t>
  </si>
  <si>
    <t>Revisão de Parto</t>
  </si>
  <si>
    <t>Curetagem</t>
  </si>
  <si>
    <t>Abcesso de Mama</t>
  </si>
  <si>
    <t>Laparotomia</t>
  </si>
  <si>
    <t xml:space="preserve">Total de Procedimentos  </t>
  </si>
  <si>
    <t>Total de Procedimentos Obstétricos/Partos</t>
  </si>
  <si>
    <t>Partos</t>
  </si>
  <si>
    <t>Total de leito/dia</t>
  </si>
  <si>
    <r>
      <t>Indicador de Gestão Ambulatorial</t>
    </r>
    <r>
      <rPr>
        <sz val="12"/>
        <color rgb="FF000000"/>
        <rFont val="Arial"/>
        <family val="2"/>
        <charset val="1"/>
      </rPr>
      <t xml:space="preserve"> </t>
    </r>
    <r>
      <rPr>
        <b/>
        <sz val="12"/>
        <color rgb="FF000000"/>
        <rFont val="Arial"/>
        <family val="2"/>
        <charset val="1"/>
      </rPr>
      <t>(%)</t>
    </r>
  </si>
  <si>
    <t xml:space="preserve">Proctologia </t>
  </si>
  <si>
    <t>13. Percentual de Casos de Doenças/Agravos/Eventos de Notificação Compulsório Mediata (DAEI) Digitadas Oportunamente - até 7 dias</t>
  </si>
  <si>
    <t>Transferencia interna</t>
  </si>
  <si>
    <t>Cirurgias de Urgência/Emergência</t>
  </si>
  <si>
    <t>Primeira consulta (40%)</t>
  </si>
  <si>
    <t>Interconsulta (10%)</t>
  </si>
  <si>
    <t>Retorno (50%)</t>
  </si>
  <si>
    <t xml:space="preserve">Consultas Multi </t>
  </si>
  <si>
    <t xml:space="preserve">Consulta Médica </t>
  </si>
  <si>
    <t>Primeira consulta</t>
  </si>
  <si>
    <t>Interconsulta</t>
  </si>
  <si>
    <t>Retorno</t>
  </si>
  <si>
    <t>Cirurgias 2º TEMPO</t>
  </si>
  <si>
    <t>INDICADORES DE PRODUÇÃO - HOSPITAL ESTADUAL DE LUZIÂNIA - PATRIS (2026)</t>
  </si>
  <si>
    <t>INDICADORES DE DESEMPENHO - HOSPITAL ESTADUAL DE LUZIÂNIA - PATRIS (2026)</t>
  </si>
  <si>
    <t>INDICADORES DE EFETIVIDADE - HOSPITAL ESTADUAL DE LUZIÂNIA - PATRIS (2026)</t>
  </si>
  <si>
    <t>Distribuição</t>
  </si>
  <si>
    <t>Total
Realizado</t>
  </si>
  <si>
    <t>Tempo médio de espera por cirurgia
ortopédica com OPME de alta
complexidade (dia)</t>
  </si>
  <si>
    <t xml:space="preserve">Meta </t>
  </si>
  <si>
    <t>Total realizado</t>
  </si>
  <si>
    <t xml:space="preserve">Ortopedia </t>
  </si>
  <si>
    <t xml:space="preserve">Aguardando definição da COMFI </t>
  </si>
  <si>
    <t xml:space="preserve">total </t>
  </si>
  <si>
    <t>Pronto Socorro Obstetrico</t>
  </si>
  <si>
    <t xml:space="preserve">Distribuição </t>
  </si>
  <si>
    <t xml:space="preserve"> Distribuição </t>
  </si>
  <si>
    <t>Eficácia Março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</si>
</sst>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0.0%"/>
    <numFmt numFmtId="165" formatCode="0.0"/>
    <numFmt numFmtId="166" formatCode="0\ "/>
    <numFmt numFmtId="167" formatCode="0\ ;\(0\)"/>
    <numFmt numFmtId="168" formatCode="[$-416]mmm/yy"/>
  </numFmts>
  <fonts count="46">
    <font>
      <sz val="11"/>
      <color rgb="FF000000"/>
      <name val="Calibri"/>
      <charset val="134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24"/>
      <color rgb="FF000000"/>
      <name val="Calibri"/>
      <family val="2"/>
      <charset val="1"/>
    </font>
    <font>
      <b/>
      <i/>
      <u/>
      <sz val="10"/>
      <color rgb="FF000000"/>
      <name val="Calibri"/>
      <family val="2"/>
      <charset val="1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i/>
      <sz val="11"/>
      <color rgb="FF000000"/>
      <name val="Arial"/>
      <family val="2"/>
      <scheme val="minor"/>
    </font>
    <font>
      <sz val="11"/>
      <color rgb="FF000000"/>
      <name val="Arial"/>
      <family val="2"/>
      <scheme val="major"/>
    </font>
    <font>
      <b/>
      <sz val="11"/>
      <color rgb="FF000000"/>
      <name val="Arial"/>
      <family val="2"/>
      <scheme val="major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</font>
    <font>
      <sz val="11"/>
      <color rgb="FF000000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2"/>
      <color rgb="FF000000"/>
      <name val="Arial"/>
      <family val="2"/>
    </font>
    <font>
      <sz val="8"/>
      <name val="Calibri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8"/>
      <name val="Calibri"/>
      <family val="2"/>
    </font>
    <font>
      <b/>
      <sz val="11"/>
      <color rgb="FFC9211E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  <charset val="1"/>
    </font>
  </fonts>
  <fills count="5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E7E6E6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E7E6E6"/>
      </patternFill>
    </fill>
    <fill>
      <patternFill patternType="solid">
        <fgColor rgb="FFFFFFCC"/>
        <bgColor rgb="FFFFFFFF"/>
      </patternFill>
    </fill>
    <fill>
      <patternFill patternType="solid">
        <fgColor rgb="FF81D41A"/>
        <bgColor rgb="FF4EFB34"/>
      </patternFill>
    </fill>
    <fill>
      <patternFill patternType="solid">
        <fgColor rgb="FFE7E6E6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66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666699"/>
      </patternFill>
    </fill>
    <fill>
      <patternFill patternType="solid">
        <fgColor rgb="FFBFBFBF"/>
        <bgColor rgb="FFCCCCCC"/>
      </patternFill>
    </fill>
    <fill>
      <patternFill patternType="solid">
        <fgColor rgb="FF808080"/>
        <bgColor rgb="FFAEAAAA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FFD7D7"/>
      </patternFill>
    </fill>
    <fill>
      <patternFill patternType="solid">
        <fgColor rgb="FFCCFFCC"/>
        <bgColor rgb="FFFFFFCC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CC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FFFFCC"/>
        <bgColor rgb="FFFFFFA6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D0CECE"/>
      </patternFill>
    </fill>
    <fill>
      <patternFill patternType="solid">
        <fgColor rgb="FF00B0F0"/>
        <bgColor rgb="FFBFBFBF"/>
      </patternFill>
    </fill>
    <fill>
      <patternFill patternType="solid">
        <fgColor rgb="FF92D050"/>
        <bgColor rgb="FFAEAAAA"/>
      </patternFill>
    </fill>
    <fill>
      <patternFill patternType="solid">
        <fgColor rgb="FF81D41A"/>
        <bgColor rgb="FF92D050"/>
      </patternFill>
    </fill>
    <fill>
      <patternFill patternType="solid">
        <fgColor rgb="FFB2B2B2"/>
        <bgColor rgb="FFAEAAAA"/>
      </patternFill>
    </fill>
    <fill>
      <patternFill patternType="solid">
        <fgColor rgb="FFD9D9D9"/>
        <bgColor rgb="FFDDDDDD"/>
      </patternFill>
    </fill>
    <fill>
      <patternFill patternType="solid">
        <fgColor rgb="FF92D050"/>
        <bgColor rgb="FFFFFF0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AEAAAA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BFBFBF"/>
      </patternFill>
    </fill>
    <fill>
      <patternFill patternType="solid">
        <fgColor theme="0"/>
        <bgColor rgb="FFD0CECE"/>
      </patternFill>
    </fill>
    <fill>
      <patternFill patternType="solid">
        <fgColor rgb="FFFFC000"/>
        <bgColor rgb="FFD9D9D9"/>
      </patternFill>
    </fill>
    <fill>
      <patternFill patternType="solid">
        <fgColor rgb="FF92D050"/>
        <bgColor rgb="FFBFBFBF"/>
      </patternFill>
    </fill>
  </fills>
  <borders count="31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9">
    <xf numFmtId="0" fontId="0" fillId="0" borderId="0"/>
    <xf numFmtId="9" fontId="12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12" fillId="0" borderId="0" applyBorder="0" applyProtection="0"/>
    <xf numFmtId="0" fontId="3" fillId="0" borderId="0" applyBorder="0" applyProtection="0"/>
    <xf numFmtId="0" fontId="12" fillId="0" borderId="0"/>
    <xf numFmtId="0" fontId="1" fillId="2" borderId="0" applyBorder="0" applyProtection="0"/>
    <xf numFmtId="0" fontId="1" fillId="19" borderId="0" applyBorder="0" applyProtection="0"/>
    <xf numFmtId="0" fontId="1" fillId="19" borderId="0" applyBorder="0" applyProtection="0"/>
    <xf numFmtId="0" fontId="2" fillId="20" borderId="0" applyBorder="0" applyProtection="0"/>
    <xf numFmtId="0" fontId="2" fillId="20" borderId="0" applyBorder="0" applyProtection="0"/>
    <xf numFmtId="0" fontId="2" fillId="0" borderId="0" applyBorder="0" applyProtection="0"/>
    <xf numFmtId="0" fontId="3" fillId="21" borderId="0" applyBorder="0" applyProtection="0"/>
    <xf numFmtId="0" fontId="3" fillId="21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22" borderId="0" applyBorder="0" applyProtection="0"/>
    <xf numFmtId="0" fontId="6" fillId="22" borderId="0" applyBorder="0" applyProtection="0"/>
    <xf numFmtId="0" fontId="7" fillId="0" borderId="0" applyBorder="0" applyProtection="0"/>
    <xf numFmtId="0" fontId="15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3" applyProtection="0"/>
    <xf numFmtId="0" fontId="11" fillId="8" borderId="13" applyProtection="0"/>
    <xf numFmtId="0" fontId="16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3" fillId="0" borderId="0" applyBorder="0" applyProtection="0"/>
    <xf numFmtId="9" fontId="12" fillId="0" borderId="0" applyBorder="0" applyProtection="0"/>
    <xf numFmtId="0" fontId="1" fillId="3" borderId="0" applyBorder="0" applyProtection="0"/>
    <xf numFmtId="0" fontId="10" fillId="27" borderId="0" applyBorder="0" applyProtection="0"/>
    <xf numFmtId="0" fontId="10" fillId="27" borderId="0" applyBorder="0" applyProtection="0"/>
    <xf numFmtId="0" fontId="11" fillId="27" borderId="13" applyProtection="0"/>
    <xf numFmtId="0" fontId="11" fillId="27" borderId="13" applyProtection="0"/>
    <xf numFmtId="44" fontId="32" fillId="0" borderId="0" applyFont="0" applyFill="0" applyBorder="0" applyAlignment="0" applyProtection="0"/>
  </cellStyleXfs>
  <cellXfs count="563">
    <xf numFmtId="0" fontId="0" fillId="0" borderId="0" xfId="0"/>
    <xf numFmtId="0" fontId="14" fillId="11" borderId="3" xfId="0" applyFont="1" applyFill="1" applyBorder="1" applyAlignment="1">
      <alignment horizontal="left" vertical="top" wrapText="1"/>
    </xf>
    <xf numFmtId="0" fontId="13" fillId="10" borderId="3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9" fontId="14" fillId="11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12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/>
    </xf>
    <xf numFmtId="3" fontId="18" fillId="12" borderId="4" xfId="0" applyNumberFormat="1" applyFont="1" applyFill="1" applyBorder="1" applyAlignment="1">
      <alignment horizontal="center" vertical="center" wrapText="1"/>
    </xf>
    <xf numFmtId="10" fontId="17" fillId="0" borderId="4" xfId="0" applyNumberFormat="1" applyFont="1" applyBorder="1" applyAlignment="1">
      <alignment horizontal="center" vertical="center"/>
    </xf>
    <xf numFmtId="10" fontId="18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10" fontId="17" fillId="0" borderId="4" xfId="1" applyNumberFormat="1" applyFont="1" applyBorder="1" applyAlignment="1" applyProtection="1">
      <alignment horizontal="center" vertical="center" wrapText="1"/>
    </xf>
    <xf numFmtId="0" fontId="17" fillId="0" borderId="4" xfId="1" applyNumberFormat="1" applyFont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6" fontId="17" fillId="0" borderId="4" xfId="0" applyNumberFormat="1" applyFont="1" applyBorder="1" applyAlignment="1">
      <alignment horizontal="center" vertical="center"/>
    </xf>
    <xf numFmtId="9" fontId="17" fillId="0" borderId="4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7" fillId="0" borderId="4" xfId="42" applyNumberFormat="1" applyFont="1" applyBorder="1" applyAlignment="1" applyProtection="1">
      <alignment horizontal="center" vertical="center"/>
    </xf>
    <xf numFmtId="10" fontId="17" fillId="23" borderId="4" xfId="0" applyNumberFormat="1" applyFont="1" applyFill="1" applyBorder="1" applyAlignment="1">
      <alignment horizontal="center" vertical="center"/>
    </xf>
    <xf numFmtId="3" fontId="17" fillId="23" borderId="4" xfId="0" applyNumberFormat="1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9" fontId="18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2" fontId="17" fillId="23" borderId="4" xfId="0" applyNumberFormat="1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2" fontId="17" fillId="0" borderId="4" xfId="42" applyNumberFormat="1" applyFont="1" applyBorder="1" applyAlignment="1" applyProtection="1">
      <alignment horizontal="center" vertical="center" wrapText="1"/>
    </xf>
    <xf numFmtId="10" fontId="17" fillId="0" borderId="4" xfId="42" applyNumberFormat="1" applyFont="1" applyBorder="1" applyAlignment="1" applyProtection="1">
      <alignment horizontal="center" vertical="center" wrapText="1"/>
    </xf>
    <xf numFmtId="10" fontId="17" fillId="23" borderId="4" xfId="42" applyNumberFormat="1" applyFont="1" applyFill="1" applyBorder="1" applyAlignment="1" applyProtection="1">
      <alignment horizontal="center" vertical="center" wrapText="1"/>
    </xf>
    <xf numFmtId="10" fontId="18" fillId="0" borderId="0" xfId="1" applyNumberFormat="1" applyFont="1" applyBorder="1" applyAlignment="1" applyProtection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2" fontId="17" fillId="23" borderId="4" xfId="42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Border="1" applyAlignment="1" applyProtection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0" fontId="17" fillId="23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6" fontId="17" fillId="23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4" xfId="42" applyNumberFormat="1" applyFont="1" applyBorder="1" applyAlignment="1" applyProtection="1">
      <alignment horizontal="center" vertical="center" wrapText="1"/>
    </xf>
    <xf numFmtId="0" fontId="17" fillId="23" borderId="4" xfId="42" applyNumberFormat="1" applyFont="1" applyFill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/>
    </xf>
    <xf numFmtId="10" fontId="17" fillId="24" borderId="4" xfId="42" applyNumberFormat="1" applyFont="1" applyFill="1" applyBorder="1" applyAlignment="1" applyProtection="1">
      <alignment horizontal="center" vertical="center" wrapText="1"/>
    </xf>
    <xf numFmtId="0" fontId="17" fillId="24" borderId="4" xfId="42" applyNumberFormat="1" applyFont="1" applyFill="1" applyBorder="1" applyAlignment="1" applyProtection="1">
      <alignment horizontal="center" vertical="center" wrapText="1"/>
    </xf>
    <xf numFmtId="164" fontId="18" fillId="0" borderId="0" xfId="1" applyNumberFormat="1" applyFont="1" applyBorder="1" applyAlignment="1" applyProtection="1">
      <alignment horizontal="center" vertical="center" wrapText="1"/>
    </xf>
    <xf numFmtId="1" fontId="17" fillId="0" borderId="4" xfId="42" applyNumberFormat="1" applyFont="1" applyBorder="1" applyAlignment="1" applyProtection="1">
      <alignment horizontal="center" vertical="center" wrapText="1"/>
    </xf>
    <xf numFmtId="0" fontId="17" fillId="24" borderId="4" xfId="0" applyFont="1" applyFill="1" applyBorder="1" applyAlignment="1">
      <alignment horizontal="center" vertical="center"/>
    </xf>
    <xf numFmtId="3" fontId="17" fillId="0" borderId="4" xfId="42" applyNumberFormat="1" applyFont="1" applyBorder="1" applyAlignment="1" applyProtection="1">
      <alignment horizontal="center" vertical="center" wrapText="1"/>
    </xf>
    <xf numFmtId="1" fontId="17" fillId="23" borderId="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" fontId="22" fillId="0" borderId="4" xfId="0" applyNumberFormat="1" applyFont="1" applyBorder="1" applyAlignment="1">
      <alignment horizontal="center" vertical="center"/>
    </xf>
    <xf numFmtId="0" fontId="24" fillId="26" borderId="4" xfId="0" applyFont="1" applyFill="1" applyBorder="1" applyAlignment="1">
      <alignment horizontal="center" vertical="center" wrapText="1"/>
    </xf>
    <xf numFmtId="3" fontId="24" fillId="26" borderId="4" xfId="0" applyNumberFormat="1" applyFont="1" applyFill="1" applyBorder="1" applyAlignment="1">
      <alignment horizontal="center" vertical="center" wrapText="1"/>
    </xf>
    <xf numFmtId="0" fontId="24" fillId="26" borderId="4" xfId="0" applyFont="1" applyFill="1" applyBorder="1" applyAlignment="1">
      <alignment horizontal="center" vertical="center"/>
    </xf>
    <xf numFmtId="3" fontId="23" fillId="26" borderId="4" xfId="0" applyNumberFormat="1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3" fontId="24" fillId="25" borderId="4" xfId="0" applyNumberFormat="1" applyFont="1" applyFill="1" applyBorder="1" applyAlignment="1">
      <alignment horizontal="center" vertical="center"/>
    </xf>
    <xf numFmtId="0" fontId="23" fillId="26" borderId="4" xfId="0" applyFont="1" applyFill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9" fontId="24" fillId="0" borderId="4" xfId="1" applyFont="1" applyBorder="1" applyAlignment="1">
      <alignment horizontal="center" vertical="center"/>
    </xf>
    <xf numFmtId="0" fontId="24" fillId="25" borderId="4" xfId="0" applyFont="1" applyFill="1" applyBorder="1" applyAlignment="1">
      <alignment horizontal="center" vertical="center"/>
    </xf>
    <xf numFmtId="9" fontId="24" fillId="25" borderId="4" xfId="1" applyFont="1" applyFill="1" applyBorder="1" applyAlignment="1">
      <alignment horizontal="center" vertical="center"/>
    </xf>
    <xf numFmtId="3" fontId="24" fillId="26" borderId="4" xfId="0" applyNumberFormat="1" applyFont="1" applyFill="1" applyBorder="1" applyAlignment="1">
      <alignment horizontal="center" vertical="center"/>
    </xf>
    <xf numFmtId="3" fontId="24" fillId="14" borderId="4" xfId="0" applyNumberFormat="1" applyFont="1" applyFill="1" applyBorder="1" applyAlignment="1">
      <alignment horizontal="center" vertical="center" wrapText="1"/>
    </xf>
    <xf numFmtId="3" fontId="24" fillId="15" borderId="4" xfId="0" applyNumberFormat="1" applyFont="1" applyFill="1" applyBorder="1" applyAlignment="1">
      <alignment horizontal="center" vertical="center" wrapText="1"/>
    </xf>
    <xf numFmtId="3" fontId="24" fillId="13" borderId="4" xfId="0" applyNumberFormat="1" applyFont="1" applyFill="1" applyBorder="1" applyAlignment="1">
      <alignment horizontal="center" vertical="center" wrapText="1"/>
    </xf>
    <xf numFmtId="3" fontId="24" fillId="16" borderId="4" xfId="0" applyNumberFormat="1" applyFont="1" applyFill="1" applyBorder="1" applyAlignment="1">
      <alignment horizontal="center" vertical="center" wrapText="1"/>
    </xf>
    <xf numFmtId="3" fontId="24" fillId="17" borderId="4" xfId="0" applyNumberFormat="1" applyFont="1" applyFill="1" applyBorder="1" applyAlignment="1">
      <alignment horizontal="center" vertical="center" wrapText="1"/>
    </xf>
    <xf numFmtId="3" fontId="24" fillId="12" borderId="4" xfId="0" applyNumberFormat="1" applyFont="1" applyFill="1" applyBorder="1" applyAlignment="1">
      <alignment horizontal="center" vertical="center" wrapText="1"/>
    </xf>
    <xf numFmtId="10" fontId="17" fillId="0" borderId="4" xfId="0" applyNumberFormat="1" applyFont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3" fillId="10" borderId="3" xfId="0" applyFont="1" applyFill="1" applyBorder="1" applyAlignment="1">
      <alignment vertical="center"/>
    </xf>
    <xf numFmtId="0" fontId="14" fillId="0" borderId="0" xfId="0" applyFont="1"/>
    <xf numFmtId="0" fontId="14" fillId="0" borderId="4" xfId="0" applyFont="1" applyBorder="1"/>
    <xf numFmtId="0" fontId="26" fillId="0" borderId="0" xfId="0" applyFont="1"/>
    <xf numFmtId="0" fontId="13" fillId="10" borderId="3" xfId="0" applyFont="1" applyFill="1" applyBorder="1" applyAlignment="1">
      <alignment vertical="center" wrapText="1"/>
    </xf>
    <xf numFmtId="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10" borderId="3" xfId="0" applyFont="1" applyFill="1" applyBorder="1" applyAlignment="1">
      <alignment horizontal="left" vertical="center"/>
    </xf>
    <xf numFmtId="0" fontId="14" fillId="11" borderId="0" xfId="0" applyFont="1" applyFill="1" applyAlignment="1">
      <alignment horizontal="center" vertical="center" wrapText="1"/>
    </xf>
    <xf numFmtId="0" fontId="14" fillId="11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9" fontId="14" fillId="0" borderId="3" xfId="0" applyNumberFormat="1" applyFont="1" applyBorder="1" applyAlignment="1">
      <alignment horizontal="center" wrapText="1"/>
    </xf>
    <xf numFmtId="3" fontId="25" fillId="0" borderId="4" xfId="0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horizontal="center" vertical="center" wrapText="1"/>
    </xf>
    <xf numFmtId="0" fontId="18" fillId="12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3" fontId="23" fillId="25" borderId="4" xfId="0" applyNumberFormat="1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10" fontId="17" fillId="0" borderId="16" xfId="42" applyNumberFormat="1" applyFont="1" applyBorder="1" applyAlignment="1" applyProtection="1">
      <alignment horizontal="center" vertical="center" wrapText="1"/>
    </xf>
    <xf numFmtId="10" fontId="17" fillId="23" borderId="16" xfId="42" applyNumberFormat="1" applyFont="1" applyFill="1" applyBorder="1" applyAlignment="1" applyProtection="1">
      <alignment horizontal="center" vertical="center" wrapText="1"/>
    </xf>
    <xf numFmtId="10" fontId="17" fillId="0" borderId="16" xfId="0" applyNumberFormat="1" applyFont="1" applyBorder="1" applyAlignment="1">
      <alignment horizontal="center" vertical="center"/>
    </xf>
    <xf numFmtId="10" fontId="17" fillId="0" borderId="11" xfId="42" applyNumberFormat="1" applyFont="1" applyBorder="1" applyAlignment="1" applyProtection="1">
      <alignment horizontal="center" vertical="center" wrapText="1"/>
    </xf>
    <xf numFmtId="9" fontId="21" fillId="0" borderId="4" xfId="1" applyFont="1" applyBorder="1" applyAlignment="1">
      <alignment horizontal="center" vertical="center"/>
    </xf>
    <xf numFmtId="0" fontId="24" fillId="30" borderId="4" xfId="0" applyFont="1" applyFill="1" applyBorder="1" applyAlignment="1">
      <alignment horizontal="center" vertical="center" wrapText="1"/>
    </xf>
    <xf numFmtId="0" fontId="14" fillId="0" borderId="0" xfId="18" applyFont="1"/>
    <xf numFmtId="0" fontId="13" fillId="29" borderId="4" xfId="18" applyFont="1" applyFill="1" applyBorder="1" applyAlignment="1">
      <alignment horizontal="center" vertical="center" wrapText="1"/>
    </xf>
    <xf numFmtId="10" fontId="14" fillId="0" borderId="4" xfId="18" applyNumberFormat="1" applyFont="1" applyBorder="1" applyAlignment="1">
      <alignment horizontal="center" vertical="center" wrapText="1"/>
    </xf>
    <xf numFmtId="10" fontId="14" fillId="0" borderId="15" xfId="18" applyNumberFormat="1" applyFont="1" applyBorder="1" applyAlignment="1">
      <alignment horizontal="center" vertical="center" wrapText="1"/>
    </xf>
    <xf numFmtId="10" fontId="13" fillId="0" borderId="15" xfId="18" applyNumberFormat="1" applyFont="1" applyBorder="1" applyAlignment="1">
      <alignment horizontal="center" vertical="center" wrapText="1"/>
    </xf>
    <xf numFmtId="10" fontId="13" fillId="0" borderId="4" xfId="18" applyNumberFormat="1" applyFont="1" applyBorder="1" applyAlignment="1">
      <alignment horizontal="center" vertical="center" wrapText="1"/>
    </xf>
    <xf numFmtId="4" fontId="14" fillId="0" borderId="4" xfId="18" applyNumberFormat="1" applyFont="1" applyBorder="1" applyAlignment="1">
      <alignment horizontal="center" vertical="center" wrapText="1"/>
    </xf>
    <xf numFmtId="4" fontId="14" fillId="0" borderId="4" xfId="18" applyNumberFormat="1" applyFont="1" applyBorder="1" applyAlignment="1">
      <alignment horizontal="center" vertical="center"/>
    </xf>
    <xf numFmtId="4" fontId="13" fillId="0" borderId="4" xfId="18" applyNumberFormat="1" applyFont="1" applyBorder="1" applyAlignment="1">
      <alignment horizontal="center" vertical="center"/>
    </xf>
    <xf numFmtId="4" fontId="14" fillId="0" borderId="14" xfId="18" applyNumberFormat="1" applyFont="1" applyBorder="1" applyAlignment="1">
      <alignment horizontal="center" vertical="center" wrapText="1"/>
    </xf>
    <xf numFmtId="4" fontId="14" fillId="0" borderId="14" xfId="18" applyNumberFormat="1" applyFont="1" applyBorder="1" applyAlignment="1">
      <alignment horizontal="center" vertical="center"/>
    </xf>
    <xf numFmtId="4" fontId="13" fillId="0" borderId="27" xfId="18" applyNumberFormat="1" applyFont="1" applyBorder="1" applyAlignment="1">
      <alignment horizontal="center" vertical="center"/>
    </xf>
    <xf numFmtId="4" fontId="14" fillId="0" borderId="15" xfId="18" applyNumberFormat="1" applyFont="1" applyBorder="1" applyAlignment="1">
      <alignment horizontal="center" vertical="center" wrapText="1"/>
    </xf>
    <xf numFmtId="4" fontId="14" fillId="0" borderId="15" xfId="18" applyNumberFormat="1" applyFont="1" applyBorder="1" applyAlignment="1">
      <alignment horizontal="center" vertical="center"/>
    </xf>
    <xf numFmtId="4" fontId="13" fillId="0" borderId="15" xfId="18" applyNumberFormat="1" applyFont="1" applyBorder="1" applyAlignment="1">
      <alignment horizontal="center" vertical="center"/>
    </xf>
    <xf numFmtId="3" fontId="14" fillId="0" borderId="4" xfId="18" applyNumberFormat="1" applyFont="1" applyBorder="1" applyAlignment="1">
      <alignment horizontal="center" vertical="center"/>
    </xf>
    <xf numFmtId="4" fontId="13" fillId="0" borderId="11" xfId="18" applyNumberFormat="1" applyFont="1" applyBorder="1" applyAlignment="1">
      <alignment horizontal="center" vertical="center"/>
    </xf>
    <xf numFmtId="0" fontId="14" fillId="0" borderId="4" xfId="18" applyFont="1" applyBorder="1" applyAlignment="1">
      <alignment horizontal="center" vertical="center"/>
    </xf>
    <xf numFmtId="2" fontId="14" fillId="0" borderId="15" xfId="18" applyNumberFormat="1" applyFont="1" applyBorder="1" applyAlignment="1">
      <alignment horizontal="center" vertical="center" wrapText="1"/>
    </xf>
    <xf numFmtId="2" fontId="14" fillId="0" borderId="4" xfId="18" applyNumberFormat="1" applyFont="1" applyBorder="1" applyAlignment="1">
      <alignment horizontal="center" vertical="center" wrapText="1"/>
    </xf>
    <xf numFmtId="10" fontId="14" fillId="0" borderId="4" xfId="1" applyNumberFormat="1" applyFont="1" applyBorder="1" applyAlignment="1" applyProtection="1">
      <alignment horizontal="center" vertical="center"/>
    </xf>
    <xf numFmtId="10" fontId="13" fillId="0" borderId="4" xfId="1" applyNumberFormat="1" applyFont="1" applyBorder="1" applyAlignment="1" applyProtection="1">
      <alignment horizontal="center" vertical="center"/>
    </xf>
    <xf numFmtId="0" fontId="30" fillId="0" borderId="0" xfId="18" applyFont="1"/>
    <xf numFmtId="10" fontId="14" fillId="0" borderId="4" xfId="18" applyNumberFormat="1" applyFont="1" applyBorder="1" applyAlignment="1">
      <alignment horizontal="center" vertical="center"/>
    </xf>
    <xf numFmtId="10" fontId="14" fillId="0" borderId="14" xfId="18" applyNumberFormat="1" applyFont="1" applyBorder="1" applyAlignment="1">
      <alignment horizontal="center" vertical="center" wrapText="1"/>
    </xf>
    <xf numFmtId="10" fontId="14" fillId="0" borderId="14" xfId="1" applyNumberFormat="1" applyFont="1" applyBorder="1" applyAlignment="1" applyProtection="1">
      <alignment horizontal="center" vertical="center"/>
    </xf>
    <xf numFmtId="10" fontId="13" fillId="0" borderId="27" xfId="1" applyNumberFormat="1" applyFont="1" applyBorder="1" applyAlignment="1" applyProtection="1">
      <alignment horizontal="center" vertical="center"/>
    </xf>
    <xf numFmtId="0" fontId="13" fillId="33" borderId="4" xfId="18" applyFont="1" applyFill="1" applyBorder="1" applyAlignment="1">
      <alignment horizontal="center" vertical="center"/>
    </xf>
    <xf numFmtId="0" fontId="13" fillId="34" borderId="4" xfId="18" applyFont="1" applyFill="1" applyBorder="1" applyAlignment="1">
      <alignment horizontal="left" vertical="center" wrapText="1"/>
    </xf>
    <xf numFmtId="0" fontId="13" fillId="34" borderId="15" xfId="18" applyFont="1" applyFill="1" applyBorder="1" applyAlignment="1">
      <alignment horizontal="left" vertical="center" wrapText="1"/>
    </xf>
    <xf numFmtId="0" fontId="13" fillId="34" borderId="4" xfId="18" applyFont="1" applyFill="1" applyBorder="1" applyAlignment="1">
      <alignment horizontal="center" vertical="center" wrapText="1"/>
    </xf>
    <xf numFmtId="0" fontId="14" fillId="29" borderId="0" xfId="18" applyFont="1" applyFill="1" applyAlignment="1">
      <alignment vertical="center" wrapText="1"/>
    </xf>
    <xf numFmtId="0" fontId="14" fillId="0" borderId="0" xfId="18" applyFont="1" applyAlignment="1">
      <alignment vertical="center" wrapText="1"/>
    </xf>
    <xf numFmtId="0" fontId="13" fillId="0" borderId="0" xfId="18" applyFont="1" applyAlignment="1">
      <alignment horizontal="center" vertical="center" wrapText="1"/>
    </xf>
    <xf numFmtId="0" fontId="13" fillId="0" borderId="0" xfId="18" applyFont="1" applyAlignment="1">
      <alignment horizontal="center"/>
    </xf>
    <xf numFmtId="0" fontId="13" fillId="34" borderId="12" xfId="18" applyFont="1" applyFill="1" applyBorder="1" applyAlignment="1">
      <alignment horizontal="left" vertical="center"/>
    </xf>
    <xf numFmtId="0" fontId="13" fillId="34" borderId="26" xfId="18" applyFont="1" applyFill="1" applyBorder="1" applyAlignment="1">
      <alignment horizontal="left" vertical="center" wrapText="1"/>
    </xf>
    <xf numFmtId="0" fontId="14" fillId="0" borderId="14" xfId="18" applyFont="1" applyBorder="1" applyAlignment="1">
      <alignment horizontal="center" vertical="center"/>
    </xf>
    <xf numFmtId="10" fontId="14" fillId="0" borderId="11" xfId="1" applyNumberFormat="1" applyFont="1" applyBorder="1" applyAlignment="1" applyProtection="1">
      <alignment horizontal="center" vertical="center"/>
    </xf>
    <xf numFmtId="0" fontId="14" fillId="0" borderId="0" xfId="18" applyFont="1" applyAlignment="1">
      <alignment wrapText="1"/>
    </xf>
    <xf numFmtId="3" fontId="14" fillId="0" borderId="0" xfId="18" applyNumberFormat="1" applyFont="1" applyAlignment="1">
      <alignment horizontal="center" vertical="center"/>
    </xf>
    <xf numFmtId="9" fontId="21" fillId="0" borderId="14" xfId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42" applyNumberFormat="1" applyFont="1" applyBorder="1" applyAlignment="1" applyProtection="1">
      <alignment horizontal="center" vertical="center" wrapText="1"/>
    </xf>
    <xf numFmtId="3" fontId="17" fillId="23" borderId="16" xfId="0" applyNumberFormat="1" applyFont="1" applyFill="1" applyBorder="1" applyAlignment="1">
      <alignment horizontal="center" vertical="center"/>
    </xf>
    <xf numFmtId="1" fontId="17" fillId="0" borderId="16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3" fontId="33" fillId="0" borderId="4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10" fontId="34" fillId="0" borderId="4" xfId="0" applyNumberFormat="1" applyFont="1" applyBorder="1" applyAlignment="1">
      <alignment horizontal="center" vertical="center"/>
    </xf>
    <xf numFmtId="44" fontId="33" fillId="0" borderId="4" xfId="48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0" fontId="17" fillId="0" borderId="11" xfId="0" applyNumberFormat="1" applyFont="1" applyBorder="1" applyAlignment="1">
      <alignment horizontal="center" vertical="center"/>
    </xf>
    <xf numFmtId="3" fontId="17" fillId="0" borderId="11" xfId="42" applyNumberFormat="1" applyFont="1" applyBorder="1" applyAlignment="1" applyProtection="1">
      <alignment horizontal="center" vertical="center" wrapText="1"/>
    </xf>
    <xf numFmtId="3" fontId="35" fillId="0" borderId="4" xfId="18" applyNumberFormat="1" applyFont="1" applyBorder="1" applyAlignment="1">
      <alignment horizontal="center" vertical="center" wrapText="1"/>
    </xf>
    <xf numFmtId="0" fontId="37" fillId="26" borderId="4" xfId="0" applyFont="1" applyFill="1" applyBorder="1" applyAlignment="1">
      <alignment horizontal="center" vertical="center" wrapText="1"/>
    </xf>
    <xf numFmtId="3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3" fontId="35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9" fontId="35" fillId="0" borderId="0" xfId="1" applyFont="1" applyBorder="1" applyAlignment="1">
      <alignment horizontal="center" vertical="center"/>
    </xf>
    <xf numFmtId="3" fontId="37" fillId="25" borderId="4" xfId="18" applyNumberFormat="1" applyFont="1" applyFill="1" applyBorder="1" applyAlignment="1">
      <alignment horizontal="center" vertical="center" wrapText="1"/>
    </xf>
    <xf numFmtId="3" fontId="37" fillId="0" borderId="0" xfId="18" applyNumberFormat="1" applyFont="1" applyAlignment="1">
      <alignment horizontal="center" vertical="center" wrapText="1"/>
    </xf>
    <xf numFmtId="9" fontId="37" fillId="0" borderId="0" xfId="1" applyFont="1" applyBorder="1" applyAlignment="1">
      <alignment horizontal="center" vertical="center"/>
    </xf>
    <xf numFmtId="3" fontId="37" fillId="0" borderId="4" xfId="18" applyNumberFormat="1" applyFont="1" applyBorder="1" applyAlignment="1">
      <alignment horizontal="center" vertical="center"/>
    </xf>
    <xf numFmtId="3" fontId="37" fillId="0" borderId="0" xfId="18" applyNumberFormat="1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0" fontId="35" fillId="0" borderId="4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3" fontId="35" fillId="0" borderId="0" xfId="0" applyNumberFormat="1" applyFont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7" fillId="37" borderId="4" xfId="0" applyNumberFormat="1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22" fillId="28" borderId="0" xfId="0" applyFont="1" applyFill="1" applyAlignment="1">
      <alignment horizontal="center" vertical="center"/>
    </xf>
    <xf numFmtId="3" fontId="24" fillId="28" borderId="0" xfId="0" applyNumberFormat="1" applyFont="1" applyFill="1" applyAlignment="1">
      <alignment horizontal="center" vertical="center"/>
    </xf>
    <xf numFmtId="2" fontId="37" fillId="0" borderId="4" xfId="18" applyNumberFormat="1" applyFont="1" applyBorder="1" applyAlignment="1">
      <alignment horizontal="center" vertical="center" wrapText="1"/>
    </xf>
    <xf numFmtId="0" fontId="13" fillId="29" borderId="4" xfId="18" applyFont="1" applyFill="1" applyBorder="1" applyAlignment="1">
      <alignment vertical="center" wrapText="1"/>
    </xf>
    <xf numFmtId="0" fontId="13" fillId="29" borderId="4" xfId="18" applyFont="1" applyFill="1" applyBorder="1" applyAlignment="1">
      <alignment vertical="center"/>
    </xf>
    <xf numFmtId="3" fontId="24" fillId="28" borderId="4" xfId="0" applyNumberFormat="1" applyFont="1" applyFill="1" applyBorder="1" applyAlignment="1">
      <alignment horizontal="center" vertical="center"/>
    </xf>
    <xf numFmtId="0" fontId="24" fillId="40" borderId="4" xfId="0" applyFont="1" applyFill="1" applyBorder="1" applyAlignment="1">
      <alignment horizontal="center" vertical="center"/>
    </xf>
    <xf numFmtId="3" fontId="40" fillId="25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37" borderId="4" xfId="0" applyFont="1" applyFill="1" applyBorder="1" applyAlignment="1">
      <alignment horizontal="center" vertical="center" wrapText="1"/>
    </xf>
    <xf numFmtId="0" fontId="24" fillId="25" borderId="4" xfId="0" applyFont="1" applyFill="1" applyBorder="1" applyAlignment="1">
      <alignment horizontal="center" vertical="center" wrapText="1"/>
    </xf>
    <xf numFmtId="0" fontId="24" fillId="26" borderId="4" xfId="0" applyFont="1" applyFill="1" applyBorder="1" applyAlignment="1">
      <alignment horizontal="left" vertical="center" wrapText="1"/>
    </xf>
    <xf numFmtId="0" fontId="23" fillId="26" borderId="4" xfId="0" applyFont="1" applyFill="1" applyBorder="1" applyAlignment="1">
      <alignment horizontal="left" vertical="center" wrapText="1"/>
    </xf>
    <xf numFmtId="0" fontId="24" fillId="26" borderId="4" xfId="0" applyFont="1" applyFill="1" applyBorder="1" applyAlignment="1">
      <alignment horizontal="left" vertical="center"/>
    </xf>
    <xf numFmtId="0" fontId="28" fillId="41" borderId="4" xfId="0" applyFont="1" applyFill="1" applyBorder="1" applyAlignment="1">
      <alignment horizontal="center" vertical="center" wrapText="1"/>
    </xf>
    <xf numFmtId="0" fontId="28" fillId="41" borderId="4" xfId="0" applyFont="1" applyFill="1" applyBorder="1" applyAlignment="1">
      <alignment horizontal="left" vertical="center" wrapText="1"/>
    </xf>
    <xf numFmtId="0" fontId="29" fillId="41" borderId="4" xfId="0" applyFont="1" applyFill="1" applyBorder="1" applyAlignment="1">
      <alignment horizontal="left" vertical="center"/>
    </xf>
    <xf numFmtId="0" fontId="28" fillId="41" borderId="4" xfId="0" applyFont="1" applyFill="1" applyBorder="1" applyAlignment="1">
      <alignment horizontal="left" vertical="center"/>
    </xf>
    <xf numFmtId="0" fontId="29" fillId="41" borderId="4" xfId="0" applyFont="1" applyFill="1" applyBorder="1" applyAlignment="1">
      <alignment horizontal="center" vertical="center"/>
    </xf>
    <xf numFmtId="0" fontId="21" fillId="25" borderId="4" xfId="0" applyFont="1" applyFill="1" applyBorder="1" applyAlignment="1">
      <alignment vertical="center" wrapText="1"/>
    </xf>
    <xf numFmtId="0" fontId="24" fillId="26" borderId="12" xfId="0" applyFont="1" applyFill="1" applyBorder="1" applyAlignment="1">
      <alignment horizontal="center" vertical="center" wrapText="1"/>
    </xf>
    <xf numFmtId="0" fontId="24" fillId="36" borderId="4" xfId="0" applyFont="1" applyFill="1" applyBorder="1" applyAlignment="1">
      <alignment horizontal="center" vertical="center" wrapText="1"/>
    </xf>
    <xf numFmtId="0" fontId="24" fillId="25" borderId="4" xfId="0" applyFont="1" applyFill="1" applyBorder="1" applyAlignment="1">
      <alignment horizontal="left" vertical="center"/>
    </xf>
    <xf numFmtId="0" fontId="24" fillId="25" borderId="4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42" borderId="4" xfId="0" applyFont="1" applyFill="1" applyBorder="1" applyAlignment="1">
      <alignment horizontal="center" vertical="center" wrapText="1"/>
    </xf>
    <xf numFmtId="0" fontId="21" fillId="37" borderId="4" xfId="0" applyFont="1" applyFill="1" applyBorder="1" applyAlignment="1">
      <alignment horizontal="center" vertical="center"/>
    </xf>
    <xf numFmtId="0" fontId="21" fillId="25" borderId="4" xfId="0" applyFont="1" applyFill="1" applyBorder="1" applyAlignment="1">
      <alignment horizontal="center" vertical="center" wrapText="1"/>
    </xf>
    <xf numFmtId="0" fontId="20" fillId="25" borderId="4" xfId="0" applyFont="1" applyFill="1" applyBorder="1" applyAlignment="1">
      <alignment horizontal="center" vertical="center"/>
    </xf>
    <xf numFmtId="3" fontId="21" fillId="25" borderId="4" xfId="0" applyNumberFormat="1" applyFont="1" applyFill="1" applyBorder="1" applyAlignment="1">
      <alignment horizontal="center" vertical="center"/>
    </xf>
    <xf numFmtId="0" fontId="21" fillId="26" borderId="4" xfId="0" applyFont="1" applyFill="1" applyBorder="1" applyAlignment="1">
      <alignment horizontal="center" vertical="center" wrapText="1"/>
    </xf>
    <xf numFmtId="0" fontId="21" fillId="26" borderId="4" xfId="0" applyFont="1" applyFill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0" fontId="13" fillId="43" borderId="4" xfId="18" applyFont="1" applyFill="1" applyBorder="1" applyAlignment="1">
      <alignment horizontal="center" vertical="center"/>
    </xf>
    <xf numFmtId="0" fontId="13" fillId="43" borderId="12" xfId="18" applyFont="1" applyFill="1" applyBorder="1" applyAlignment="1">
      <alignment horizontal="center" vertical="center"/>
    </xf>
    <xf numFmtId="10" fontId="13" fillId="43" borderId="4" xfId="18" applyNumberFormat="1" applyFont="1" applyFill="1" applyBorder="1" applyAlignment="1">
      <alignment horizontal="center" vertical="center" wrapText="1"/>
    </xf>
    <xf numFmtId="0" fontId="13" fillId="41" borderId="12" xfId="18" applyFont="1" applyFill="1" applyBorder="1" applyAlignment="1">
      <alignment horizontal="center" vertical="center" wrapText="1"/>
    </xf>
    <xf numFmtId="0" fontId="13" fillId="41" borderId="26" xfId="18" applyFont="1" applyFill="1" applyBorder="1" applyAlignment="1">
      <alignment horizontal="center" vertical="center" wrapText="1"/>
    </xf>
    <xf numFmtId="0" fontId="13" fillId="41" borderId="4" xfId="18" applyFont="1" applyFill="1" applyBorder="1" applyAlignment="1">
      <alignment horizontal="center" vertical="center" wrapText="1"/>
    </xf>
    <xf numFmtId="0" fontId="13" fillId="41" borderId="11" xfId="18" applyFont="1" applyFill="1" applyBorder="1" applyAlignment="1">
      <alignment horizontal="center" vertical="center" wrapText="1"/>
    </xf>
    <xf numFmtId="3" fontId="13" fillId="41" borderId="4" xfId="18" applyNumberFormat="1" applyFont="1" applyFill="1" applyBorder="1" applyAlignment="1">
      <alignment horizontal="center" vertical="center" wrapText="1"/>
    </xf>
    <xf numFmtId="0" fontId="13" fillId="41" borderId="4" xfId="18" applyFont="1" applyFill="1" applyBorder="1" applyAlignment="1">
      <alignment horizontal="center" vertical="center"/>
    </xf>
    <xf numFmtId="0" fontId="13" fillId="41" borderId="15" xfId="18" applyFont="1" applyFill="1" applyBorder="1" applyAlignment="1">
      <alignment horizontal="center" vertical="center" wrapText="1"/>
    </xf>
    <xf numFmtId="0" fontId="13" fillId="41" borderId="25" xfId="18" applyFont="1" applyFill="1" applyBorder="1" applyAlignment="1">
      <alignment horizontal="center" vertical="center" wrapText="1"/>
    </xf>
    <xf numFmtId="0" fontId="13" fillId="41" borderId="12" xfId="18" applyFont="1" applyFill="1" applyBorder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3" fillId="43" borderId="4" xfId="18" applyFont="1" applyFill="1" applyBorder="1" applyAlignment="1">
      <alignment vertical="center"/>
    </xf>
    <xf numFmtId="10" fontId="13" fillId="0" borderId="12" xfId="18" applyNumberFormat="1" applyFont="1" applyBorder="1" applyAlignment="1">
      <alignment vertical="center" wrapText="1"/>
    </xf>
    <xf numFmtId="0" fontId="14" fillId="0" borderId="15" xfId="18" applyFont="1" applyBorder="1" applyAlignment="1">
      <alignment horizontal="center" vertical="center"/>
    </xf>
    <xf numFmtId="0" fontId="19" fillId="0" borderId="26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3" fontId="17" fillId="0" borderId="14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3" fontId="17" fillId="0" borderId="15" xfId="0" applyNumberFormat="1" applyFont="1" applyBorder="1" applyAlignment="1">
      <alignment horizontal="center" vertical="center"/>
    </xf>
    <xf numFmtId="10" fontId="18" fillId="0" borderId="11" xfId="0" applyNumberFormat="1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2" fontId="14" fillId="0" borderId="25" xfId="18" applyNumberFormat="1" applyFont="1" applyBorder="1" applyAlignment="1">
      <alignment horizontal="center" vertical="center" wrapText="1"/>
    </xf>
    <xf numFmtId="10" fontId="14" fillId="0" borderId="12" xfId="1" applyNumberFormat="1" applyFont="1" applyBorder="1" applyAlignment="1" applyProtection="1">
      <alignment horizontal="center" vertical="center"/>
    </xf>
    <xf numFmtId="4" fontId="13" fillId="0" borderId="14" xfId="18" applyNumberFormat="1" applyFont="1" applyBorder="1" applyAlignment="1">
      <alignment horizontal="center" vertical="center"/>
    </xf>
    <xf numFmtId="2" fontId="13" fillId="0" borderId="4" xfId="18" applyNumberFormat="1" applyFont="1" applyBorder="1" applyAlignment="1">
      <alignment horizontal="center" vertical="center" wrapText="1"/>
    </xf>
    <xf numFmtId="0" fontId="22" fillId="28" borderId="4" xfId="0" applyFont="1" applyFill="1" applyBorder="1" applyAlignment="1">
      <alignment horizontal="center" vertical="center"/>
    </xf>
    <xf numFmtId="3" fontId="22" fillId="28" borderId="4" xfId="0" applyNumberFormat="1" applyFont="1" applyFill="1" applyBorder="1" applyAlignment="1">
      <alignment horizontal="center" vertical="center"/>
    </xf>
    <xf numFmtId="3" fontId="25" fillId="28" borderId="4" xfId="0" applyNumberFormat="1" applyFont="1" applyFill="1" applyBorder="1" applyAlignment="1">
      <alignment horizontal="center" vertical="center" wrapText="1"/>
    </xf>
    <xf numFmtId="3" fontId="20" fillId="28" borderId="4" xfId="0" applyNumberFormat="1" applyFont="1" applyFill="1" applyBorder="1" applyAlignment="1">
      <alignment horizontal="center" vertical="center"/>
    </xf>
    <xf numFmtId="10" fontId="14" fillId="28" borderId="15" xfId="18" applyNumberFormat="1" applyFont="1" applyFill="1" applyBorder="1" applyAlignment="1">
      <alignment horizontal="center" vertical="center" wrapText="1"/>
    </xf>
    <xf numFmtId="10" fontId="14" fillId="28" borderId="4" xfId="18" applyNumberFormat="1" applyFont="1" applyFill="1" applyBorder="1" applyAlignment="1">
      <alignment horizontal="center" vertical="center" wrapText="1"/>
    </xf>
    <xf numFmtId="10" fontId="13" fillId="28" borderId="4" xfId="18" applyNumberFormat="1" applyFont="1" applyFill="1" applyBorder="1" applyAlignment="1">
      <alignment horizontal="center" vertical="center" wrapText="1"/>
    </xf>
    <xf numFmtId="4" fontId="14" fillId="28" borderId="4" xfId="18" applyNumberFormat="1" applyFont="1" applyFill="1" applyBorder="1" applyAlignment="1">
      <alignment horizontal="center" vertical="center"/>
    </xf>
    <xf numFmtId="4" fontId="14" fillId="28" borderId="14" xfId="18" applyNumberFormat="1" applyFont="1" applyFill="1" applyBorder="1" applyAlignment="1">
      <alignment horizontal="center" vertical="center"/>
    </xf>
    <xf numFmtId="2" fontId="37" fillId="28" borderId="4" xfId="18" applyNumberFormat="1" applyFont="1" applyFill="1" applyBorder="1" applyAlignment="1">
      <alignment horizontal="center" vertical="center" wrapText="1"/>
    </xf>
    <xf numFmtId="4" fontId="14" fillId="28" borderId="15" xfId="18" applyNumberFormat="1" applyFont="1" applyFill="1" applyBorder="1" applyAlignment="1">
      <alignment horizontal="center" vertical="center"/>
    </xf>
    <xf numFmtId="2" fontId="13" fillId="28" borderId="4" xfId="18" applyNumberFormat="1" applyFont="1" applyFill="1" applyBorder="1" applyAlignment="1">
      <alignment horizontal="center" vertical="center" wrapText="1"/>
    </xf>
    <xf numFmtId="2" fontId="14" fillId="28" borderId="15" xfId="18" applyNumberFormat="1" applyFont="1" applyFill="1" applyBorder="1" applyAlignment="1">
      <alignment horizontal="center" vertical="center" wrapText="1"/>
    </xf>
    <xf numFmtId="2" fontId="14" fillId="28" borderId="4" xfId="18" applyNumberFormat="1" applyFont="1" applyFill="1" applyBorder="1" applyAlignment="1">
      <alignment horizontal="center" vertical="center" wrapText="1"/>
    </xf>
    <xf numFmtId="10" fontId="14" fillId="28" borderId="4" xfId="18" quotePrefix="1" applyNumberFormat="1" applyFont="1" applyFill="1" applyBorder="1" applyAlignment="1">
      <alignment horizontal="center" vertical="center" wrapText="1"/>
    </xf>
    <xf numFmtId="10" fontId="14" fillId="28" borderId="4" xfId="1" applyNumberFormat="1" applyFont="1" applyFill="1" applyBorder="1" applyAlignment="1" applyProtection="1">
      <alignment horizontal="center" vertical="center"/>
    </xf>
    <xf numFmtId="3" fontId="14" fillId="28" borderId="4" xfId="18" applyNumberFormat="1" applyFont="1" applyFill="1" applyBorder="1" applyAlignment="1">
      <alignment horizontal="center" vertical="center"/>
    </xf>
    <xf numFmtId="10" fontId="14" fillId="28" borderId="14" xfId="1" applyNumberFormat="1" applyFont="1" applyFill="1" applyBorder="1" applyAlignment="1" applyProtection="1">
      <alignment horizontal="center" vertical="center"/>
    </xf>
    <xf numFmtId="0" fontId="14" fillId="28" borderId="4" xfId="18" applyFont="1" applyFill="1" applyBorder="1" applyAlignment="1">
      <alignment horizontal="center" vertical="center"/>
    </xf>
    <xf numFmtId="10" fontId="14" fillId="28" borderId="4" xfId="18" applyNumberFormat="1" applyFont="1" applyFill="1" applyBorder="1" applyAlignment="1">
      <alignment horizontal="center" vertical="center"/>
    </xf>
    <xf numFmtId="0" fontId="14" fillId="28" borderId="14" xfId="18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41" fillId="28" borderId="4" xfId="0" applyFont="1" applyFill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10" fontId="13" fillId="28" borderId="15" xfId="18" applyNumberFormat="1" applyFont="1" applyFill="1" applyBorder="1" applyAlignment="1">
      <alignment horizontal="center" vertical="center" wrapText="1"/>
    </xf>
    <xf numFmtId="10" fontId="18" fillId="28" borderId="4" xfId="0" applyNumberFormat="1" applyFont="1" applyFill="1" applyBorder="1" applyAlignment="1">
      <alignment horizontal="center" vertical="center"/>
    </xf>
    <xf numFmtId="0" fontId="17" fillId="28" borderId="4" xfId="0" applyFont="1" applyFill="1" applyBorder="1" applyAlignment="1">
      <alignment horizontal="center" vertical="center"/>
    </xf>
    <xf numFmtId="3" fontId="17" fillId="28" borderId="4" xfId="0" applyNumberFormat="1" applyFont="1" applyFill="1" applyBorder="1" applyAlignment="1">
      <alignment horizontal="center" vertical="center"/>
    </xf>
    <xf numFmtId="4" fontId="18" fillId="28" borderId="4" xfId="0" applyNumberFormat="1" applyFont="1" applyFill="1" applyBorder="1" applyAlignment="1">
      <alignment horizontal="center" vertical="center"/>
    </xf>
    <xf numFmtId="10" fontId="17" fillId="28" borderId="4" xfId="1" applyNumberFormat="1" applyFont="1" applyFill="1" applyBorder="1" applyAlignment="1" applyProtection="1">
      <alignment horizontal="center" vertical="center" wrapText="1"/>
    </xf>
    <xf numFmtId="2" fontId="17" fillId="28" borderId="4" xfId="0" applyNumberFormat="1" applyFont="1" applyFill="1" applyBorder="1" applyAlignment="1">
      <alignment horizontal="center" vertical="center"/>
    </xf>
    <xf numFmtId="1" fontId="17" fillId="28" borderId="4" xfId="0" applyNumberFormat="1" applyFont="1" applyFill="1" applyBorder="1" applyAlignment="1">
      <alignment horizontal="center" vertical="center"/>
    </xf>
    <xf numFmtId="9" fontId="21" fillId="28" borderId="14" xfId="1" applyFont="1" applyFill="1" applyBorder="1" applyAlignment="1">
      <alignment horizontal="center" vertical="center"/>
    </xf>
    <xf numFmtId="3" fontId="33" fillId="28" borderId="4" xfId="0" applyNumberFormat="1" applyFont="1" applyFill="1" applyBorder="1" applyAlignment="1">
      <alignment horizontal="center" vertical="center"/>
    </xf>
    <xf numFmtId="10" fontId="34" fillId="28" borderId="4" xfId="0" applyNumberFormat="1" applyFont="1" applyFill="1" applyBorder="1" applyAlignment="1">
      <alignment horizontal="center" vertical="center"/>
    </xf>
    <xf numFmtId="2" fontId="33" fillId="28" borderId="4" xfId="0" applyNumberFormat="1" applyFont="1" applyFill="1" applyBorder="1" applyAlignment="1">
      <alignment horizontal="center" vertical="center"/>
    </xf>
    <xf numFmtId="44" fontId="33" fillId="28" borderId="4" xfId="48" applyFont="1" applyFill="1" applyBorder="1" applyAlignment="1">
      <alignment horizontal="center" vertical="center"/>
    </xf>
    <xf numFmtId="0" fontId="33" fillId="28" borderId="4" xfId="0" applyFont="1" applyFill="1" applyBorder="1" applyAlignment="1">
      <alignment horizontal="center" vertical="center"/>
    </xf>
    <xf numFmtId="0" fontId="22" fillId="39" borderId="4" xfId="0" applyFont="1" applyFill="1" applyBorder="1" applyAlignment="1">
      <alignment horizontal="center" vertical="center"/>
    </xf>
    <xf numFmtId="3" fontId="22" fillId="39" borderId="4" xfId="0" applyNumberFormat="1" applyFont="1" applyFill="1" applyBorder="1" applyAlignment="1">
      <alignment horizontal="center" vertical="center"/>
    </xf>
    <xf numFmtId="3" fontId="25" fillId="39" borderId="4" xfId="0" applyNumberFormat="1" applyFont="1" applyFill="1" applyBorder="1" applyAlignment="1">
      <alignment horizontal="center" vertical="center" wrapText="1"/>
    </xf>
    <xf numFmtId="3" fontId="30" fillId="39" borderId="4" xfId="0" applyNumberFormat="1" applyFont="1" applyFill="1" applyBorder="1" applyAlignment="1">
      <alignment horizontal="center" vertical="center" wrapText="1"/>
    </xf>
    <xf numFmtId="3" fontId="30" fillId="39" borderId="4" xfId="0" applyNumberFormat="1" applyFont="1" applyFill="1" applyBorder="1" applyAlignment="1">
      <alignment horizontal="center" vertical="center"/>
    </xf>
    <xf numFmtId="0" fontId="17" fillId="39" borderId="4" xfId="0" applyFont="1" applyFill="1" applyBorder="1" applyAlignment="1">
      <alignment horizontal="center" vertical="center"/>
    </xf>
    <xf numFmtId="3" fontId="17" fillId="39" borderId="4" xfId="0" applyNumberFormat="1" applyFont="1" applyFill="1" applyBorder="1" applyAlignment="1">
      <alignment horizontal="center" vertical="center"/>
    </xf>
    <xf numFmtId="4" fontId="18" fillId="39" borderId="4" xfId="0" applyNumberFormat="1" applyFont="1" applyFill="1" applyBorder="1" applyAlignment="1">
      <alignment horizontal="center" vertical="center"/>
    </xf>
    <xf numFmtId="10" fontId="18" fillId="39" borderId="4" xfId="0" applyNumberFormat="1" applyFont="1" applyFill="1" applyBorder="1" applyAlignment="1">
      <alignment horizontal="center" vertical="center"/>
    </xf>
    <xf numFmtId="9" fontId="21" fillId="39" borderId="14" xfId="1" applyFont="1" applyFill="1" applyBorder="1" applyAlignment="1">
      <alignment horizontal="center" vertical="center"/>
    </xf>
    <xf numFmtId="3" fontId="33" fillId="39" borderId="4" xfId="0" applyNumberFormat="1" applyFont="1" applyFill="1" applyBorder="1" applyAlignment="1">
      <alignment horizontal="center" vertical="center"/>
    </xf>
    <xf numFmtId="0" fontId="19" fillId="44" borderId="16" xfId="0" applyFont="1" applyFill="1" applyBorder="1" applyAlignment="1">
      <alignment vertical="center" wrapText="1"/>
    </xf>
    <xf numFmtId="2" fontId="18" fillId="39" borderId="4" xfId="0" applyNumberFormat="1" applyFont="1" applyFill="1" applyBorder="1" applyAlignment="1">
      <alignment horizontal="center" vertical="center"/>
    </xf>
    <xf numFmtId="10" fontId="17" fillId="39" borderId="4" xfId="0" applyNumberFormat="1" applyFont="1" applyFill="1" applyBorder="1" applyAlignment="1">
      <alignment horizontal="center" vertical="center"/>
    </xf>
    <xf numFmtId="2" fontId="17" fillId="39" borderId="4" xfId="0" applyNumberFormat="1" applyFont="1" applyFill="1" applyBorder="1" applyAlignment="1">
      <alignment horizontal="center" vertical="center"/>
    </xf>
    <xf numFmtId="10" fontId="20" fillId="0" borderId="4" xfId="1" applyNumberFormat="1" applyFont="1" applyBorder="1" applyAlignment="1">
      <alignment horizontal="center" vertical="center"/>
    </xf>
    <xf numFmtId="10" fontId="20" fillId="0" borderId="15" xfId="1" applyNumberFormat="1" applyFont="1" applyBorder="1" applyAlignment="1">
      <alignment horizontal="center" vertical="center"/>
    </xf>
    <xf numFmtId="10" fontId="20" fillId="39" borderId="4" xfId="1" applyNumberFormat="1" applyFont="1" applyFill="1" applyBorder="1" applyAlignment="1">
      <alignment horizontal="center" vertical="center"/>
    </xf>
    <xf numFmtId="0" fontId="22" fillId="39" borderId="0" xfId="0" applyFont="1" applyFill="1" applyAlignment="1">
      <alignment horizontal="center" vertical="center"/>
    </xf>
    <xf numFmtId="0" fontId="19" fillId="39" borderId="16" xfId="0" applyFont="1" applyFill="1" applyBorder="1" applyAlignment="1">
      <alignment vertical="center" wrapText="1"/>
    </xf>
    <xf numFmtId="10" fontId="34" fillId="39" borderId="4" xfId="0" applyNumberFormat="1" applyFont="1" applyFill="1" applyBorder="1" applyAlignment="1">
      <alignment horizontal="center" vertical="center"/>
    </xf>
    <xf numFmtId="2" fontId="33" fillId="39" borderId="4" xfId="0" applyNumberFormat="1" applyFont="1" applyFill="1" applyBorder="1" applyAlignment="1">
      <alignment horizontal="center" vertical="center"/>
    </xf>
    <xf numFmtId="0" fontId="33" fillId="39" borderId="4" xfId="0" applyFont="1" applyFill="1" applyBorder="1" applyAlignment="1">
      <alignment horizontal="center" vertical="center"/>
    </xf>
    <xf numFmtId="1" fontId="17" fillId="39" borderId="4" xfId="0" applyNumberFormat="1" applyFont="1" applyFill="1" applyBorder="1" applyAlignment="1">
      <alignment horizontal="center" vertical="center"/>
    </xf>
    <xf numFmtId="3" fontId="20" fillId="39" borderId="4" xfId="0" applyNumberFormat="1" applyFont="1" applyFill="1" applyBorder="1" applyAlignment="1">
      <alignment horizontal="center" vertical="center"/>
    </xf>
    <xf numFmtId="44" fontId="33" fillId="39" borderId="4" xfId="48" applyFont="1" applyFill="1" applyBorder="1" applyAlignment="1">
      <alignment horizontal="center" vertical="center"/>
    </xf>
    <xf numFmtId="10" fontId="14" fillId="39" borderId="4" xfId="18" applyNumberFormat="1" applyFont="1" applyFill="1" applyBorder="1" applyAlignment="1">
      <alignment horizontal="center" vertical="center" wrapText="1"/>
    </xf>
    <xf numFmtId="10" fontId="14" fillId="39" borderId="15" xfId="18" applyNumberFormat="1" applyFont="1" applyFill="1" applyBorder="1" applyAlignment="1">
      <alignment horizontal="center" vertical="center" wrapText="1"/>
    </xf>
    <xf numFmtId="10" fontId="37" fillId="39" borderId="15" xfId="18" applyNumberFormat="1" applyFont="1" applyFill="1" applyBorder="1" applyAlignment="1">
      <alignment horizontal="center" vertical="center" wrapText="1"/>
    </xf>
    <xf numFmtId="10" fontId="37" fillId="39" borderId="4" xfId="18" applyNumberFormat="1" applyFont="1" applyFill="1" applyBorder="1" applyAlignment="1">
      <alignment horizontal="center" vertical="center" wrapText="1"/>
    </xf>
    <xf numFmtId="10" fontId="35" fillId="39" borderId="4" xfId="18" applyNumberFormat="1" applyFont="1" applyFill="1" applyBorder="1" applyAlignment="1">
      <alignment horizontal="center" vertical="center" wrapText="1"/>
    </xf>
    <xf numFmtId="4" fontId="22" fillId="39" borderId="4" xfId="18" applyNumberFormat="1" applyFont="1" applyFill="1" applyBorder="1" applyAlignment="1">
      <alignment horizontal="center" vertical="center" wrapText="1"/>
    </xf>
    <xf numFmtId="4" fontId="22" fillId="39" borderId="14" xfId="18" applyNumberFormat="1" applyFont="1" applyFill="1" applyBorder="1" applyAlignment="1">
      <alignment horizontal="center" vertical="center" wrapText="1"/>
    </xf>
    <xf numFmtId="4" fontId="30" fillId="39" borderId="4" xfId="18" applyNumberFormat="1" applyFont="1" applyFill="1" applyBorder="1" applyAlignment="1">
      <alignment horizontal="center" vertical="center" wrapText="1"/>
    </xf>
    <xf numFmtId="2" fontId="28" fillId="39" borderId="4" xfId="18" applyNumberFormat="1" applyFont="1" applyFill="1" applyBorder="1" applyAlignment="1">
      <alignment horizontal="center" vertical="center" wrapText="1"/>
    </xf>
    <xf numFmtId="10" fontId="30" fillId="39" borderId="4" xfId="1" applyNumberFormat="1" applyFont="1" applyFill="1" applyBorder="1" applyAlignment="1" applyProtection="1">
      <alignment horizontal="center" vertical="center"/>
    </xf>
    <xf numFmtId="3" fontId="30" fillId="39" borderId="4" xfId="18" applyNumberFormat="1" applyFont="1" applyFill="1" applyBorder="1" applyAlignment="1">
      <alignment horizontal="center" vertical="center"/>
    </xf>
    <xf numFmtId="10" fontId="30" fillId="39" borderId="14" xfId="18" applyNumberFormat="1" applyFont="1" applyFill="1" applyBorder="1" applyAlignment="1">
      <alignment horizontal="center" vertical="center" wrapText="1"/>
    </xf>
    <xf numFmtId="10" fontId="30" fillId="39" borderId="4" xfId="18" applyNumberFormat="1" applyFont="1" applyFill="1" applyBorder="1" applyAlignment="1">
      <alignment horizontal="center" vertical="center" wrapText="1"/>
    </xf>
    <xf numFmtId="0" fontId="30" fillId="39" borderId="4" xfId="18" applyFont="1" applyFill="1" applyBorder="1" applyAlignment="1">
      <alignment horizontal="center" vertical="center"/>
    </xf>
    <xf numFmtId="10" fontId="30" fillId="39" borderId="11" xfId="1" applyNumberFormat="1" applyFont="1" applyFill="1" applyBorder="1" applyAlignment="1" applyProtection="1">
      <alignment horizontal="center" vertical="center"/>
    </xf>
    <xf numFmtId="2" fontId="22" fillId="39" borderId="4" xfId="18" applyNumberFormat="1" applyFont="1" applyFill="1" applyBorder="1" applyAlignment="1">
      <alignment horizontal="center" vertical="center" wrapText="1"/>
    </xf>
    <xf numFmtId="3" fontId="22" fillId="39" borderId="11" xfId="18" applyNumberFormat="1" applyFont="1" applyFill="1" applyBorder="1" applyAlignment="1">
      <alignment horizontal="center" vertical="center" wrapText="1"/>
    </xf>
    <xf numFmtId="3" fontId="22" fillId="39" borderId="4" xfId="18" applyNumberFormat="1" applyFont="1" applyFill="1" applyBorder="1" applyAlignment="1">
      <alignment horizontal="center" vertical="center" wrapText="1"/>
    </xf>
    <xf numFmtId="3" fontId="22" fillId="39" borderId="14" xfId="18" applyNumberFormat="1" applyFont="1" applyFill="1" applyBorder="1" applyAlignment="1">
      <alignment horizontal="center" vertical="center" wrapText="1"/>
    </xf>
    <xf numFmtId="0" fontId="24" fillId="45" borderId="4" xfId="0" applyFont="1" applyFill="1" applyBorder="1" applyAlignment="1">
      <alignment horizontal="center" vertical="center" wrapText="1"/>
    </xf>
    <xf numFmtId="0" fontId="24" fillId="28" borderId="0" xfId="0" applyFont="1" applyFill="1" applyAlignment="1">
      <alignment horizontal="center" vertical="center" wrapText="1"/>
    </xf>
    <xf numFmtId="3" fontId="37" fillId="28" borderId="0" xfId="18" applyNumberFormat="1" applyFont="1" applyFill="1" applyAlignment="1">
      <alignment horizontal="center" vertical="center" wrapText="1"/>
    </xf>
    <xf numFmtId="0" fontId="37" fillId="28" borderId="4" xfId="0" applyFont="1" applyFill="1" applyBorder="1" applyAlignment="1">
      <alignment horizontal="center" vertical="center"/>
    </xf>
    <xf numFmtId="0" fontId="28" fillId="47" borderId="0" xfId="0" applyFont="1" applyFill="1" applyAlignment="1">
      <alignment horizontal="center" vertical="center" wrapText="1"/>
    </xf>
    <xf numFmtId="3" fontId="24" fillId="38" borderId="0" xfId="0" applyNumberFormat="1" applyFont="1" applyFill="1" applyAlignment="1">
      <alignment horizontal="center" vertical="center" wrapText="1"/>
    </xf>
    <xf numFmtId="3" fontId="23" fillId="28" borderId="0" xfId="0" applyNumberFormat="1" applyFont="1" applyFill="1" applyAlignment="1">
      <alignment horizontal="center" vertical="center" wrapText="1"/>
    </xf>
    <xf numFmtId="0" fontId="43" fillId="28" borderId="0" xfId="0" applyFont="1" applyFill="1" applyAlignment="1">
      <alignment horizontal="center" vertical="center"/>
    </xf>
    <xf numFmtId="3" fontId="43" fillId="28" borderId="0" xfId="0" applyNumberFormat="1" applyFont="1" applyFill="1" applyAlignment="1">
      <alignment horizontal="center" vertical="center"/>
    </xf>
    <xf numFmtId="9" fontId="43" fillId="28" borderId="0" xfId="1" applyFont="1" applyFill="1" applyBorder="1" applyAlignment="1">
      <alignment horizontal="center" vertical="center"/>
    </xf>
    <xf numFmtId="0" fontId="24" fillId="38" borderId="0" xfId="0" applyFont="1" applyFill="1" applyAlignment="1">
      <alignment horizontal="center" vertical="center" wrapText="1"/>
    </xf>
    <xf numFmtId="0" fontId="23" fillId="38" borderId="0" xfId="0" applyFont="1" applyFill="1" applyAlignment="1">
      <alignment horizontal="center" vertical="center" wrapText="1"/>
    </xf>
    <xf numFmtId="3" fontId="23" fillId="38" borderId="0" xfId="0" applyNumberFormat="1" applyFont="1" applyFill="1" applyAlignment="1">
      <alignment horizontal="center" vertical="center" wrapText="1"/>
    </xf>
    <xf numFmtId="0" fontId="29" fillId="47" borderId="0" xfId="0" applyFont="1" applyFill="1" applyAlignment="1">
      <alignment horizontal="center" vertical="center"/>
    </xf>
    <xf numFmtId="3" fontId="37" fillId="28" borderId="0" xfId="0" applyNumberFormat="1" applyFont="1" applyFill="1" applyAlignment="1">
      <alignment horizontal="center" vertical="center"/>
    </xf>
    <xf numFmtId="9" fontId="37" fillId="28" borderId="0" xfId="1" applyFont="1" applyFill="1" applyBorder="1" applyAlignment="1">
      <alignment horizontal="center" vertical="center"/>
    </xf>
    <xf numFmtId="0" fontId="37" fillId="28" borderId="0" xfId="0" applyFont="1" applyFill="1" applyAlignment="1">
      <alignment horizontal="center" vertical="center"/>
    </xf>
    <xf numFmtId="3" fontId="35" fillId="28" borderId="0" xfId="0" applyNumberFormat="1" applyFont="1" applyFill="1" applyAlignment="1">
      <alignment horizontal="center" vertical="center"/>
    </xf>
    <xf numFmtId="9" fontId="35" fillId="28" borderId="0" xfId="1" applyFont="1" applyFill="1" applyBorder="1" applyAlignment="1">
      <alignment horizontal="center" vertical="center"/>
    </xf>
    <xf numFmtId="0" fontId="21" fillId="28" borderId="0" xfId="0" applyFont="1" applyFill="1" applyAlignment="1">
      <alignment horizontal="center" vertical="center" wrapText="1"/>
    </xf>
    <xf numFmtId="0" fontId="21" fillId="28" borderId="0" xfId="0" applyFont="1" applyFill="1" applyAlignment="1">
      <alignment horizontal="center" vertical="center"/>
    </xf>
    <xf numFmtId="0" fontId="20" fillId="28" borderId="0" xfId="0" applyFont="1" applyFill="1" applyAlignment="1">
      <alignment horizontal="center" vertical="center"/>
    </xf>
    <xf numFmtId="3" fontId="21" fillId="28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3" fontId="22" fillId="28" borderId="0" xfId="0" applyNumberFormat="1" applyFont="1" applyFill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35" fillId="28" borderId="0" xfId="0" applyFont="1" applyFill="1" applyAlignment="1">
      <alignment horizontal="center" vertical="center"/>
    </xf>
    <xf numFmtId="0" fontId="37" fillId="37" borderId="4" xfId="0" applyFont="1" applyFill="1" applyBorder="1" applyAlignment="1">
      <alignment vertical="center" wrapText="1"/>
    </xf>
    <xf numFmtId="0" fontId="37" fillId="36" borderId="14" xfId="0" applyFont="1" applyFill="1" applyBorder="1" applyAlignment="1">
      <alignment horizontal="center" vertical="center"/>
    </xf>
    <xf numFmtId="0" fontId="37" fillId="36" borderId="14" xfId="0" applyFont="1" applyFill="1" applyBorder="1" applyAlignment="1">
      <alignment horizontal="center" vertical="center" wrapText="1"/>
    </xf>
    <xf numFmtId="0" fontId="37" fillId="25" borderId="4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3" fontId="24" fillId="38" borderId="0" xfId="0" applyNumberFormat="1" applyFont="1" applyFill="1" applyAlignment="1">
      <alignment horizontal="center" vertical="center"/>
    </xf>
    <xf numFmtId="0" fontId="24" fillId="46" borderId="4" xfId="0" applyFont="1" applyFill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/>
    </xf>
    <xf numFmtId="3" fontId="37" fillId="25" borderId="11" xfId="0" applyNumberFormat="1" applyFont="1" applyFill="1" applyBorder="1" applyAlignment="1">
      <alignment horizontal="center" vertical="center"/>
    </xf>
    <xf numFmtId="3" fontId="24" fillId="45" borderId="4" xfId="0" applyNumberFormat="1" applyFont="1" applyFill="1" applyBorder="1" applyAlignment="1">
      <alignment horizontal="center" vertical="center"/>
    </xf>
    <xf numFmtId="0" fontId="24" fillId="45" borderId="4" xfId="0" applyFont="1" applyFill="1" applyBorder="1" applyAlignment="1">
      <alignment horizontal="center" vertical="center"/>
    </xf>
    <xf numFmtId="10" fontId="24" fillId="28" borderId="4" xfId="0" applyNumberFormat="1" applyFont="1" applyFill="1" applyBorder="1" applyAlignment="1">
      <alignment horizontal="center" vertical="center"/>
    </xf>
    <xf numFmtId="10" fontId="24" fillId="45" borderId="4" xfId="0" applyNumberFormat="1" applyFont="1" applyFill="1" applyBorder="1" applyAlignment="1">
      <alignment horizontal="center" vertical="center"/>
    </xf>
    <xf numFmtId="3" fontId="23" fillId="28" borderId="4" xfId="0" applyNumberFormat="1" applyFont="1" applyFill="1" applyBorder="1" applyAlignment="1">
      <alignment horizontal="center" vertical="center"/>
    </xf>
    <xf numFmtId="3" fontId="23" fillId="45" borderId="4" xfId="0" applyNumberFormat="1" applyFont="1" applyFill="1" applyBorder="1" applyAlignment="1">
      <alignment horizontal="center" vertical="center"/>
    </xf>
    <xf numFmtId="0" fontId="24" fillId="30" borderId="4" xfId="0" applyFont="1" applyFill="1" applyBorder="1" applyAlignment="1">
      <alignment horizontal="center" vertical="center"/>
    </xf>
    <xf numFmtId="10" fontId="23" fillId="28" borderId="4" xfId="0" applyNumberFormat="1" applyFont="1" applyFill="1" applyBorder="1" applyAlignment="1">
      <alignment horizontal="center" vertical="center"/>
    </xf>
    <xf numFmtId="10" fontId="23" fillId="45" borderId="4" xfId="0" applyNumberFormat="1" applyFont="1" applyFill="1" applyBorder="1" applyAlignment="1">
      <alignment horizontal="center" vertical="center"/>
    </xf>
    <xf numFmtId="9" fontId="22" fillId="28" borderId="4" xfId="1" applyFont="1" applyFill="1" applyBorder="1" applyAlignment="1">
      <alignment horizontal="center" vertical="center"/>
    </xf>
    <xf numFmtId="3" fontId="22" fillId="45" borderId="4" xfId="0" applyNumberFormat="1" applyFont="1" applyFill="1" applyBorder="1" applyAlignment="1">
      <alignment horizontal="center" vertical="center"/>
    </xf>
    <xf numFmtId="9" fontId="22" fillId="45" borderId="4" xfId="1" applyFont="1" applyFill="1" applyBorder="1" applyAlignment="1">
      <alignment horizontal="center" vertical="center"/>
    </xf>
    <xf numFmtId="0" fontId="23" fillId="20" borderId="4" xfId="0" applyFont="1" applyFill="1" applyBorder="1" applyAlignment="1">
      <alignment horizontal="center" vertical="center" wrapText="1"/>
    </xf>
    <xf numFmtId="0" fontId="44" fillId="38" borderId="14" xfId="0" applyFont="1" applyFill="1" applyBorder="1" applyAlignment="1">
      <alignment horizontal="center" vertical="center" wrapText="1"/>
    </xf>
    <xf numFmtId="3" fontId="24" fillId="45" borderId="4" xfId="18" applyNumberFormat="1" applyFont="1" applyFill="1" applyBorder="1" applyAlignment="1">
      <alignment horizontal="center" vertical="center" wrapText="1"/>
    </xf>
    <xf numFmtId="9" fontId="24" fillId="28" borderId="4" xfId="1" applyFont="1" applyFill="1" applyBorder="1" applyAlignment="1">
      <alignment horizontal="center" vertical="center"/>
    </xf>
    <xf numFmtId="0" fontId="24" fillId="38" borderId="14" xfId="0" applyFont="1" applyFill="1" applyBorder="1" applyAlignment="1">
      <alignment horizontal="center" vertical="center" wrapText="1"/>
    </xf>
    <xf numFmtId="3" fontId="24" fillId="38" borderId="4" xfId="0" applyNumberFormat="1" applyFont="1" applyFill="1" applyBorder="1" applyAlignment="1">
      <alignment horizontal="center" vertical="center" wrapText="1"/>
    </xf>
    <xf numFmtId="10" fontId="24" fillId="38" borderId="4" xfId="0" applyNumberFormat="1" applyFont="1" applyFill="1" applyBorder="1" applyAlignment="1">
      <alignment horizontal="center" vertical="center" wrapText="1"/>
    </xf>
    <xf numFmtId="3" fontId="24" fillId="46" borderId="4" xfId="0" applyNumberFormat="1" applyFont="1" applyFill="1" applyBorder="1" applyAlignment="1">
      <alignment horizontal="center" vertical="center" wrapText="1"/>
    </xf>
    <xf numFmtId="9" fontId="24" fillId="45" borderId="4" xfId="1" applyFont="1" applyFill="1" applyBorder="1" applyAlignment="1">
      <alignment horizontal="center" vertical="center"/>
    </xf>
    <xf numFmtId="0" fontId="23" fillId="46" borderId="4" xfId="0" applyFont="1" applyFill="1" applyBorder="1" applyAlignment="1">
      <alignment horizontal="center" vertical="center" wrapText="1"/>
    </xf>
    <xf numFmtId="9" fontId="23" fillId="28" borderId="4" xfId="1" applyFont="1" applyFill="1" applyBorder="1" applyAlignment="1">
      <alignment horizontal="center" vertical="center"/>
    </xf>
    <xf numFmtId="9" fontId="23" fillId="45" borderId="4" xfId="1" applyFont="1" applyFill="1" applyBorder="1" applyAlignment="1">
      <alignment horizontal="center" vertical="center"/>
    </xf>
    <xf numFmtId="0" fontId="19" fillId="44" borderId="30" xfId="0" applyFont="1" applyFill="1" applyBorder="1" applyAlignment="1">
      <alignment vertical="center" wrapText="1"/>
    </xf>
    <xf numFmtId="0" fontId="19" fillId="44" borderId="19" xfId="0" applyFont="1" applyFill="1" applyBorder="1" applyAlignment="1">
      <alignment vertical="center" wrapText="1"/>
    </xf>
    <xf numFmtId="9" fontId="21" fillId="25" borderId="4" xfId="1" applyFont="1" applyFill="1" applyBorder="1" applyAlignment="1">
      <alignment horizontal="center" vertical="center"/>
    </xf>
    <xf numFmtId="4" fontId="14" fillId="39" borderId="4" xfId="18" applyNumberFormat="1" applyFont="1" applyFill="1" applyBorder="1" applyAlignment="1">
      <alignment horizontal="center" vertical="center" wrapText="1"/>
    </xf>
    <xf numFmtId="4" fontId="14" fillId="39" borderId="14" xfId="18" applyNumberFormat="1" applyFont="1" applyFill="1" applyBorder="1" applyAlignment="1">
      <alignment horizontal="center" vertical="center" wrapText="1"/>
    </xf>
    <xf numFmtId="2" fontId="37" fillId="39" borderId="4" xfId="18" applyNumberFormat="1" applyFont="1" applyFill="1" applyBorder="1" applyAlignment="1">
      <alignment horizontal="center" vertical="center" wrapText="1"/>
    </xf>
    <xf numFmtId="2" fontId="13" fillId="39" borderId="4" xfId="18" applyNumberFormat="1" applyFont="1" applyFill="1" applyBorder="1" applyAlignment="1">
      <alignment horizontal="center" vertical="center" wrapText="1"/>
    </xf>
    <xf numFmtId="0" fontId="24" fillId="41" borderId="4" xfId="18" applyFont="1" applyFill="1" applyBorder="1" applyAlignment="1">
      <alignment horizontal="center" vertical="center" wrapText="1"/>
    </xf>
    <xf numFmtId="3" fontId="24" fillId="41" borderId="4" xfId="18" applyNumberFormat="1" applyFont="1" applyFill="1" applyBorder="1" applyAlignment="1">
      <alignment horizontal="center" vertical="center" wrapText="1"/>
    </xf>
    <xf numFmtId="0" fontId="24" fillId="41" borderId="4" xfId="18" applyFont="1" applyFill="1" applyBorder="1" applyAlignment="1">
      <alignment horizontal="center" vertical="center"/>
    </xf>
    <xf numFmtId="0" fontId="22" fillId="0" borderId="4" xfId="18" applyFont="1" applyBorder="1" applyAlignment="1">
      <alignment horizontal="center" vertical="center" wrapText="1"/>
    </xf>
    <xf numFmtId="3" fontId="22" fillId="0" borderId="4" xfId="18" applyNumberFormat="1" applyFont="1" applyBorder="1" applyAlignment="1">
      <alignment horizontal="center" vertical="center" wrapText="1"/>
    </xf>
    <xf numFmtId="3" fontId="22" fillId="28" borderId="4" xfId="18" applyNumberFormat="1" applyFont="1" applyFill="1" applyBorder="1" applyAlignment="1">
      <alignment horizontal="center" vertical="center" wrapText="1"/>
    </xf>
    <xf numFmtId="3" fontId="22" fillId="28" borderId="15" xfId="18" applyNumberFormat="1" applyFont="1" applyFill="1" applyBorder="1" applyAlignment="1">
      <alignment horizontal="center" vertical="center" wrapText="1"/>
    </xf>
    <xf numFmtId="167" fontId="22" fillId="0" borderId="4" xfId="18" applyNumberFormat="1" applyFont="1" applyBorder="1" applyAlignment="1">
      <alignment horizontal="center" vertical="center" wrapText="1"/>
    </xf>
    <xf numFmtId="3" fontId="22" fillId="0" borderId="4" xfId="18" applyNumberFormat="1" applyFont="1" applyBorder="1" applyAlignment="1">
      <alignment horizontal="center" vertical="center"/>
    </xf>
    <xf numFmtId="0" fontId="22" fillId="0" borderId="14" xfId="18" applyFont="1" applyBorder="1" applyAlignment="1">
      <alignment horizontal="center" vertical="center" wrapText="1"/>
    </xf>
    <xf numFmtId="167" fontId="22" fillId="0" borderId="14" xfId="18" applyNumberFormat="1" applyFont="1" applyBorder="1" applyAlignment="1">
      <alignment horizontal="center" vertical="center" wrapText="1"/>
    </xf>
    <xf numFmtId="3" fontId="22" fillId="0" borderId="14" xfId="18" applyNumberFormat="1" applyFont="1" applyBorder="1" applyAlignment="1">
      <alignment horizontal="center" vertical="center" wrapText="1"/>
    </xf>
    <xf numFmtId="3" fontId="22" fillId="28" borderId="14" xfId="18" applyNumberFormat="1" applyFont="1" applyFill="1" applyBorder="1" applyAlignment="1">
      <alignment horizontal="center" vertical="center" wrapText="1"/>
    </xf>
    <xf numFmtId="3" fontId="22" fillId="0" borderId="11" xfId="18" applyNumberFormat="1" applyFont="1" applyBorder="1" applyAlignment="1">
      <alignment horizontal="center" vertical="center" wrapText="1"/>
    </xf>
    <xf numFmtId="3" fontId="22" fillId="28" borderId="11" xfId="18" applyNumberFormat="1" applyFont="1" applyFill="1" applyBorder="1" applyAlignment="1">
      <alignment horizontal="center" vertical="center" wrapText="1"/>
    </xf>
    <xf numFmtId="3" fontId="14" fillId="39" borderId="4" xfId="18" applyNumberFormat="1" applyFont="1" applyFill="1" applyBorder="1" applyAlignment="1">
      <alignment horizontal="center" vertical="center"/>
    </xf>
    <xf numFmtId="0" fontId="14" fillId="39" borderId="4" xfId="18" applyFont="1" applyFill="1" applyBorder="1" applyAlignment="1">
      <alignment horizontal="center" vertical="center"/>
    </xf>
    <xf numFmtId="10" fontId="14" fillId="39" borderId="4" xfId="1" applyNumberFormat="1" applyFont="1" applyFill="1" applyBorder="1" applyAlignment="1" applyProtection="1">
      <alignment horizontal="center" vertical="center"/>
    </xf>
    <xf numFmtId="0" fontId="14" fillId="39" borderId="0" xfId="18" applyFont="1" applyFill="1" applyAlignment="1">
      <alignment horizontal="center" vertical="center"/>
    </xf>
    <xf numFmtId="10" fontId="13" fillId="39" borderId="4" xfId="18" applyNumberFormat="1" applyFont="1" applyFill="1" applyBorder="1" applyAlignment="1">
      <alignment horizontal="center" vertical="center" wrapText="1"/>
    </xf>
    <xf numFmtId="0" fontId="22" fillId="39" borderId="4" xfId="18" applyFont="1" applyFill="1" applyBorder="1" applyAlignment="1">
      <alignment horizontal="center" vertical="center" wrapText="1"/>
    </xf>
    <xf numFmtId="0" fontId="24" fillId="28" borderId="4" xfId="0" applyFont="1" applyFill="1" applyBorder="1" applyAlignment="1">
      <alignment horizontal="center" vertical="center"/>
    </xf>
    <xf numFmtId="0" fontId="19" fillId="44" borderId="11" xfId="0" applyFont="1" applyFill="1" applyBorder="1" applyAlignment="1">
      <alignment vertical="center" wrapText="1"/>
    </xf>
    <xf numFmtId="0" fontId="19" fillId="44" borderId="27" xfId="0" applyFont="1" applyFill="1" applyBorder="1" applyAlignment="1">
      <alignment vertical="center" wrapText="1"/>
    </xf>
    <xf numFmtId="0" fontId="19" fillId="44" borderId="28" xfId="0" applyFont="1" applyFill="1" applyBorder="1" applyAlignment="1">
      <alignment vertical="center" wrapText="1"/>
    </xf>
    <xf numFmtId="10" fontId="14" fillId="39" borderId="11" xfId="1" applyNumberFormat="1" applyFont="1" applyFill="1" applyBorder="1" applyAlignment="1" applyProtection="1">
      <alignment horizontal="center" vertical="center"/>
    </xf>
    <xf numFmtId="10" fontId="17" fillId="39" borderId="4" xfId="1" applyNumberFormat="1" applyFont="1" applyFill="1" applyBorder="1" applyAlignment="1" applyProtection="1">
      <alignment horizontal="center" vertical="center" wrapText="1"/>
    </xf>
    <xf numFmtId="0" fontId="24" fillId="49" borderId="4" xfId="0" applyFont="1" applyFill="1" applyBorder="1" applyAlignment="1">
      <alignment horizontal="center" vertical="center"/>
    </xf>
    <xf numFmtId="0" fontId="19" fillId="39" borderId="11" xfId="0" applyFont="1" applyFill="1" applyBorder="1" applyAlignment="1">
      <alignment vertical="center" wrapText="1"/>
    </xf>
    <xf numFmtId="10" fontId="14" fillId="39" borderId="14" xfId="18" applyNumberFormat="1" applyFont="1" applyFill="1" applyBorder="1" applyAlignment="1">
      <alignment horizontal="center" vertical="center" wrapText="1"/>
    </xf>
    <xf numFmtId="0" fontId="22" fillId="39" borderId="14" xfId="18" applyFont="1" applyFill="1" applyBorder="1" applyAlignment="1">
      <alignment horizontal="center" vertical="center" wrapText="1"/>
    </xf>
    <xf numFmtId="2" fontId="45" fillId="39" borderId="28" xfId="18" applyNumberFormat="1" applyFont="1" applyFill="1" applyBorder="1" applyAlignment="1">
      <alignment horizontal="center" vertical="center" wrapText="1"/>
    </xf>
    <xf numFmtId="0" fontId="45" fillId="39" borderId="15" xfId="18" applyFont="1" applyFill="1" applyBorder="1" applyAlignment="1">
      <alignment horizontal="center" vertical="center" wrapText="1"/>
    </xf>
    <xf numFmtId="2" fontId="45" fillId="39" borderId="15" xfId="18" applyNumberFormat="1" applyFont="1" applyFill="1" applyBorder="1" applyAlignment="1">
      <alignment horizontal="center" vertical="center" wrapText="1"/>
    </xf>
    <xf numFmtId="2" fontId="45" fillId="39" borderId="4" xfId="18" applyNumberFormat="1" applyFont="1" applyFill="1" applyBorder="1" applyAlignment="1">
      <alignment horizontal="center" vertical="center" wrapText="1"/>
    </xf>
    <xf numFmtId="0" fontId="45" fillId="39" borderId="4" xfId="18" applyFont="1" applyFill="1" applyBorder="1" applyAlignment="1">
      <alignment horizontal="center" vertical="center" wrapText="1"/>
    </xf>
    <xf numFmtId="10" fontId="45" fillId="39" borderId="4" xfId="18" applyNumberFormat="1" applyFont="1" applyFill="1" applyBorder="1" applyAlignment="1">
      <alignment horizontal="center" vertical="center" wrapText="1"/>
    </xf>
    <xf numFmtId="9" fontId="18" fillId="12" borderId="14" xfId="0" applyNumberFormat="1" applyFont="1" applyFill="1" applyBorder="1" applyAlignment="1">
      <alignment horizontal="center" vertical="center" wrapText="1"/>
    </xf>
    <xf numFmtId="9" fontId="18" fillId="12" borderId="20" xfId="0" applyNumberFormat="1" applyFont="1" applyFill="1" applyBorder="1" applyAlignment="1">
      <alignment horizontal="center" vertical="center" wrapText="1"/>
    </xf>
    <xf numFmtId="9" fontId="18" fillId="12" borderId="15" xfId="0" applyNumberFormat="1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18" fillId="25" borderId="4" xfId="0" applyNumberFormat="1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2" borderId="26" xfId="0" applyFont="1" applyFill="1" applyBorder="1" applyAlignment="1">
      <alignment horizontal="center" vertical="center" wrapText="1"/>
    </xf>
    <xf numFmtId="0" fontId="18" fillId="12" borderId="29" xfId="0" applyFont="1" applyFill="1" applyBorder="1" applyAlignment="1">
      <alignment horizontal="center" vertical="center" wrapText="1"/>
    </xf>
    <xf numFmtId="0" fontId="18" fillId="12" borderId="25" xfId="0" applyFont="1" applyFill="1" applyBorder="1" applyAlignment="1">
      <alignment horizontal="center" vertical="center" wrapText="1"/>
    </xf>
    <xf numFmtId="9" fontId="18" fillId="12" borderId="4" xfId="0" applyNumberFormat="1" applyFont="1" applyFill="1" applyBorder="1" applyAlignment="1">
      <alignment horizontal="center" vertical="center" wrapText="1"/>
    </xf>
    <xf numFmtId="0" fontId="18" fillId="12" borderId="14" xfId="0" applyFont="1" applyFill="1" applyBorder="1" applyAlignment="1">
      <alignment horizontal="center" vertical="center" wrapText="1"/>
    </xf>
    <xf numFmtId="0" fontId="18" fillId="12" borderId="20" xfId="0" applyFont="1" applyFill="1" applyBorder="1" applyAlignment="1">
      <alignment horizontal="center" vertical="center" wrapText="1"/>
    </xf>
    <xf numFmtId="0" fontId="18" fillId="12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26" fillId="10" borderId="3" xfId="0" applyFont="1" applyFill="1" applyBorder="1"/>
    <xf numFmtId="0" fontId="14" fillId="11" borderId="3" xfId="0" applyFont="1" applyFill="1" applyBorder="1" applyAlignment="1">
      <alignment horizontal="center" vertical="center" wrapText="1"/>
    </xf>
    <xf numFmtId="0" fontId="26" fillId="10" borderId="5" xfId="0" applyFont="1" applyFill="1" applyBorder="1"/>
    <xf numFmtId="0" fontId="13" fillId="10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3" fillId="10" borderId="18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3" fillId="10" borderId="21" xfId="0" applyFont="1" applyFill="1" applyBorder="1" applyAlignment="1">
      <alignment horizontal="center" vertical="center" wrapText="1"/>
    </xf>
    <xf numFmtId="0" fontId="13" fillId="10" borderId="17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3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3" fontId="14" fillId="11" borderId="3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wrapText="1"/>
    </xf>
    <xf numFmtId="0" fontId="22" fillId="0" borderId="0" xfId="0" applyFont="1" applyAlignment="1">
      <alignment horizontal="center" vertical="center"/>
    </xf>
    <xf numFmtId="3" fontId="24" fillId="25" borderId="4" xfId="0" applyNumberFormat="1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center" vertical="center" wrapText="1"/>
    </xf>
    <xf numFmtId="0" fontId="23" fillId="26" borderId="20" xfId="0" applyFont="1" applyFill="1" applyBorder="1" applyAlignment="1">
      <alignment horizontal="center" vertical="center" wrapText="1"/>
    </xf>
    <xf numFmtId="0" fontId="23" fillId="26" borderId="15" xfId="0" applyFont="1" applyFill="1" applyBorder="1" applyAlignment="1">
      <alignment horizontal="center" vertical="center" wrapText="1"/>
    </xf>
    <xf numFmtId="3" fontId="24" fillId="26" borderId="4" xfId="0" applyNumberFormat="1" applyFont="1" applyFill="1" applyBorder="1" applyAlignment="1">
      <alignment horizontal="center" vertical="center"/>
    </xf>
    <xf numFmtId="3" fontId="24" fillId="26" borderId="12" xfId="0" applyNumberFormat="1" applyFont="1" applyFill="1" applyBorder="1" applyAlignment="1">
      <alignment horizontal="center" vertical="center" wrapText="1"/>
    </xf>
    <xf numFmtId="0" fontId="24" fillId="25" borderId="4" xfId="0" applyFont="1" applyFill="1" applyBorder="1" applyAlignment="1">
      <alignment horizontal="center" vertical="center"/>
    </xf>
    <xf numFmtId="0" fontId="21" fillId="25" borderId="4" xfId="0" applyFont="1" applyFill="1" applyBorder="1" applyAlignment="1">
      <alignment horizontal="center" vertical="center"/>
    </xf>
    <xf numFmtId="0" fontId="37" fillId="48" borderId="12" xfId="0" applyFont="1" applyFill="1" applyBorder="1" applyAlignment="1">
      <alignment horizontal="center" vertical="center" wrapText="1"/>
    </xf>
    <xf numFmtId="0" fontId="37" fillId="48" borderId="16" xfId="0" applyFont="1" applyFill="1" applyBorder="1" applyAlignment="1">
      <alignment horizontal="center" vertical="center" wrapText="1"/>
    </xf>
    <xf numFmtId="0" fontId="37" fillId="48" borderId="11" xfId="0" applyFont="1" applyFill="1" applyBorder="1" applyAlignment="1">
      <alignment horizontal="center" vertical="center" wrapText="1"/>
    </xf>
    <xf numFmtId="0" fontId="31" fillId="35" borderId="29" xfId="0" applyFont="1" applyFill="1" applyBorder="1" applyAlignment="1">
      <alignment horizontal="center" vertical="center"/>
    </xf>
    <xf numFmtId="0" fontId="31" fillId="35" borderId="0" xfId="0" applyFont="1" applyFill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3" fillId="31" borderId="4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3" fillId="26" borderId="4" xfId="0" applyFont="1" applyFill="1" applyBorder="1" applyAlignment="1">
      <alignment horizontal="center" vertical="center" wrapText="1"/>
    </xf>
    <xf numFmtId="3" fontId="23" fillId="28" borderId="14" xfId="0" applyNumberFormat="1" applyFont="1" applyFill="1" applyBorder="1" applyAlignment="1">
      <alignment horizontal="center" vertical="center"/>
    </xf>
    <xf numFmtId="3" fontId="23" fillId="28" borderId="20" xfId="0" applyNumberFormat="1" applyFont="1" applyFill="1" applyBorder="1" applyAlignment="1">
      <alignment horizontal="center" vertical="center"/>
    </xf>
    <xf numFmtId="3" fontId="23" fillId="28" borderId="15" xfId="0" applyNumberFormat="1" applyFont="1" applyFill="1" applyBorder="1" applyAlignment="1">
      <alignment horizontal="center" vertical="center"/>
    </xf>
    <xf numFmtId="0" fontId="24" fillId="28" borderId="14" xfId="0" applyFont="1" applyFill="1" applyBorder="1" applyAlignment="1">
      <alignment horizontal="center" vertical="center"/>
    </xf>
    <xf numFmtId="0" fontId="24" fillId="28" borderId="20" xfId="0" applyFont="1" applyFill="1" applyBorder="1" applyAlignment="1">
      <alignment horizontal="center" vertical="center"/>
    </xf>
    <xf numFmtId="0" fontId="24" fillId="28" borderId="15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3" fontId="23" fillId="26" borderId="14" xfId="0" applyNumberFormat="1" applyFont="1" applyFill="1" applyBorder="1" applyAlignment="1">
      <alignment horizontal="center" vertical="center" wrapText="1"/>
    </xf>
    <xf numFmtId="3" fontId="23" fillId="26" borderId="20" xfId="0" applyNumberFormat="1" applyFont="1" applyFill="1" applyBorder="1" applyAlignment="1">
      <alignment horizontal="center" vertical="center" wrapText="1"/>
    </xf>
    <xf numFmtId="3" fontId="23" fillId="26" borderId="15" xfId="0" applyNumberFormat="1" applyFont="1" applyFill="1" applyBorder="1" applyAlignment="1">
      <alignment horizontal="center" vertical="center" wrapText="1"/>
    </xf>
    <xf numFmtId="3" fontId="24" fillId="26" borderId="14" xfId="0" applyNumberFormat="1" applyFont="1" applyFill="1" applyBorder="1" applyAlignment="1">
      <alignment horizontal="center" vertical="center" wrapText="1"/>
    </xf>
    <xf numFmtId="3" fontId="24" fillId="26" borderId="20" xfId="0" applyNumberFormat="1" applyFont="1" applyFill="1" applyBorder="1" applyAlignment="1">
      <alignment horizontal="center" vertical="center" wrapText="1"/>
    </xf>
    <xf numFmtId="3" fontId="24" fillId="26" borderId="15" xfId="0" applyNumberFormat="1" applyFont="1" applyFill="1" applyBorder="1" applyAlignment="1">
      <alignment horizontal="center" vertical="center" wrapText="1"/>
    </xf>
    <xf numFmtId="9" fontId="21" fillId="28" borderId="14" xfId="1" applyFont="1" applyFill="1" applyBorder="1" applyAlignment="1">
      <alignment horizontal="center" vertical="center"/>
    </xf>
    <xf numFmtId="9" fontId="21" fillId="28" borderId="20" xfId="1" applyFont="1" applyFill="1" applyBorder="1" applyAlignment="1">
      <alignment horizontal="center" vertical="center"/>
    </xf>
    <xf numFmtId="9" fontId="21" fillId="28" borderId="15" xfId="1" applyFont="1" applyFill="1" applyBorder="1" applyAlignment="1">
      <alignment horizontal="center" vertical="center"/>
    </xf>
    <xf numFmtId="9" fontId="21" fillId="45" borderId="14" xfId="1" applyFont="1" applyFill="1" applyBorder="1" applyAlignment="1">
      <alignment horizontal="center" vertical="center"/>
    </xf>
    <xf numFmtId="9" fontId="21" fillId="45" borderId="20" xfId="1" applyFont="1" applyFill="1" applyBorder="1" applyAlignment="1">
      <alignment horizontal="center" vertical="center"/>
    </xf>
    <xf numFmtId="9" fontId="21" fillId="45" borderId="15" xfId="1" applyFont="1" applyFill="1" applyBorder="1" applyAlignment="1">
      <alignment horizontal="center"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20" xfId="0" applyFont="1" applyFill="1" applyBorder="1" applyAlignment="1">
      <alignment horizontal="center" vertical="center" wrapText="1"/>
    </xf>
    <xf numFmtId="0" fontId="24" fillId="38" borderId="15" xfId="0" applyFont="1" applyFill="1" applyBorder="1" applyAlignment="1">
      <alignment horizontal="center" vertical="center" wrapText="1"/>
    </xf>
    <xf numFmtId="0" fontId="23" fillId="28" borderId="14" xfId="0" applyFont="1" applyFill="1" applyBorder="1" applyAlignment="1">
      <alignment horizontal="center" vertical="center"/>
    </xf>
    <xf numFmtId="0" fontId="23" fillId="28" borderId="20" xfId="0" applyFont="1" applyFill="1" applyBorder="1" applyAlignment="1">
      <alignment horizontal="center" vertical="center"/>
    </xf>
    <xf numFmtId="0" fontId="23" fillId="28" borderId="15" xfId="0" applyFont="1" applyFill="1" applyBorder="1" applyAlignment="1">
      <alignment horizontal="center" vertical="center"/>
    </xf>
    <xf numFmtId="0" fontId="14" fillId="0" borderId="0" xfId="18" applyFont="1"/>
    <xf numFmtId="0" fontId="13" fillId="0" borderId="0" xfId="18" applyFont="1" applyAlignment="1">
      <alignment horizontal="center"/>
    </xf>
    <xf numFmtId="10" fontId="13" fillId="0" borderId="4" xfId="18" applyNumberFormat="1" applyFont="1" applyBorder="1" applyAlignment="1">
      <alignment horizontal="center" vertical="center" wrapText="1"/>
    </xf>
    <xf numFmtId="0" fontId="13" fillId="41" borderId="4" xfId="18" applyFont="1" applyFill="1" applyBorder="1" applyAlignment="1">
      <alignment horizontal="left" vertical="center" wrapText="1"/>
    </xf>
    <xf numFmtId="10" fontId="13" fillId="39" borderId="4" xfId="18" applyNumberFormat="1" applyFont="1" applyFill="1" applyBorder="1" applyAlignment="1">
      <alignment horizontal="center" vertical="center" wrapText="1"/>
    </xf>
    <xf numFmtId="10" fontId="13" fillId="28" borderId="4" xfId="18" applyNumberFormat="1" applyFont="1" applyFill="1" applyBorder="1" applyAlignment="1">
      <alignment horizontal="center" vertical="center" wrapText="1"/>
    </xf>
    <xf numFmtId="0" fontId="13" fillId="43" borderId="12" xfId="18" applyFont="1" applyFill="1" applyBorder="1" applyAlignment="1">
      <alignment horizontal="center" vertical="center"/>
    </xf>
    <xf numFmtId="0" fontId="13" fillId="43" borderId="11" xfId="18" applyFont="1" applyFill="1" applyBorder="1" applyAlignment="1">
      <alignment horizontal="center" vertical="center"/>
    </xf>
    <xf numFmtId="10" fontId="13" fillId="0" borderId="16" xfId="18" applyNumberFormat="1" applyFont="1" applyBorder="1" applyAlignment="1">
      <alignment horizontal="center" vertical="center" wrapText="1"/>
    </xf>
    <xf numFmtId="10" fontId="13" fillId="0" borderId="11" xfId="18" applyNumberFormat="1" applyFont="1" applyBorder="1" applyAlignment="1">
      <alignment horizontal="center" vertical="center" wrapText="1"/>
    </xf>
    <xf numFmtId="0" fontId="13" fillId="41" borderId="4" xfId="18" applyFont="1" applyFill="1" applyBorder="1" applyAlignment="1">
      <alignment horizontal="center" vertical="center" wrapText="1"/>
    </xf>
    <xf numFmtId="3" fontId="13" fillId="41" borderId="4" xfId="18" applyNumberFormat="1" applyFont="1" applyFill="1" applyBorder="1" applyAlignment="1">
      <alignment horizontal="center" vertical="center" wrapText="1"/>
    </xf>
    <xf numFmtId="0" fontId="14" fillId="0" borderId="0" xfId="18" applyFont="1" applyAlignment="1">
      <alignment horizontal="center"/>
    </xf>
    <xf numFmtId="0" fontId="13" fillId="32" borderId="4" xfId="18" applyFont="1" applyFill="1" applyBorder="1" applyAlignment="1">
      <alignment horizontal="center" vertical="center" wrapText="1"/>
    </xf>
    <xf numFmtId="0" fontId="13" fillId="41" borderId="15" xfId="18" applyFont="1" applyFill="1" applyBorder="1" applyAlignment="1">
      <alignment horizontal="center" vertical="center" wrapText="1"/>
    </xf>
    <xf numFmtId="3" fontId="13" fillId="41" borderId="20" xfId="18" applyNumberFormat="1" applyFont="1" applyFill="1" applyBorder="1" applyAlignment="1">
      <alignment horizontal="center" vertical="center" wrapText="1"/>
    </xf>
    <xf numFmtId="0" fontId="14" fillId="0" borderId="12" xfId="18" applyFont="1" applyBorder="1" applyAlignment="1">
      <alignment horizontal="center"/>
    </xf>
    <xf numFmtId="0" fontId="14" fillId="0" borderId="16" xfId="18" applyFont="1" applyBorder="1" applyAlignment="1">
      <alignment horizontal="center"/>
    </xf>
    <xf numFmtId="0" fontId="13" fillId="43" borderId="4" xfId="18" applyFont="1" applyFill="1" applyBorder="1" applyAlignment="1">
      <alignment horizontal="center" vertical="center" wrapText="1"/>
    </xf>
    <xf numFmtId="0" fontId="13" fillId="43" borderId="4" xfId="18" applyFont="1" applyFill="1" applyBorder="1" applyAlignment="1">
      <alignment horizontal="center" vertical="center"/>
    </xf>
    <xf numFmtId="0" fontId="13" fillId="41" borderId="12" xfId="18" applyFont="1" applyFill="1" applyBorder="1" applyAlignment="1">
      <alignment horizontal="center" vertical="center" wrapText="1"/>
    </xf>
    <xf numFmtId="0" fontId="13" fillId="41" borderId="16" xfId="18" applyFont="1" applyFill="1" applyBorder="1" applyAlignment="1">
      <alignment horizontal="center" vertical="center" wrapText="1"/>
    </xf>
    <xf numFmtId="0" fontId="13" fillId="41" borderId="11" xfId="18" applyFont="1" applyFill="1" applyBorder="1" applyAlignment="1">
      <alignment horizontal="center" vertical="center" wrapText="1"/>
    </xf>
    <xf numFmtId="168" fontId="13" fillId="41" borderId="14" xfId="18" applyNumberFormat="1" applyFont="1" applyFill="1" applyBorder="1" applyAlignment="1">
      <alignment horizontal="center" vertical="center"/>
    </xf>
    <xf numFmtId="168" fontId="13" fillId="41" borderId="15" xfId="18" applyNumberFormat="1" applyFont="1" applyFill="1" applyBorder="1" applyAlignment="1">
      <alignment horizontal="center" vertical="center"/>
    </xf>
    <xf numFmtId="0" fontId="13" fillId="41" borderId="14" xfId="18" applyFont="1" applyFill="1" applyBorder="1" applyAlignment="1">
      <alignment horizontal="center" vertical="center"/>
    </xf>
    <xf numFmtId="0" fontId="13" fillId="41" borderId="15" xfId="18" applyFont="1" applyFill="1" applyBorder="1" applyAlignment="1">
      <alignment horizontal="center" vertical="center"/>
    </xf>
  </cellXfs>
  <cellStyles count="49">
    <cellStyle name="Accent 1 14" xfId="2" xr:uid="{00000000-0005-0000-0000-000006000000}"/>
    <cellStyle name="Accent 1 5" xfId="19" xr:uid="{B9C92071-8BB6-4E6D-917E-57C719041EF1}"/>
    <cellStyle name="Accent 13" xfId="3" xr:uid="{00000000-0005-0000-0000-000007000000}"/>
    <cellStyle name="Accent 2 15" xfId="4" xr:uid="{00000000-0005-0000-0000-000008000000}"/>
    <cellStyle name="Accent 2 15 2" xfId="20" xr:uid="{0641B9EA-E6F0-4866-BD31-5068ED766CBD}"/>
    <cellStyle name="Accent 2 6" xfId="21" xr:uid="{C286B0A1-56B4-4694-A9B9-C30FF76AEF74}"/>
    <cellStyle name="Accent 2 6 2" xfId="43" xr:uid="{A987AAF7-83D4-4165-BB7C-C3F61AA08F72}"/>
    <cellStyle name="Accent 3 16" xfId="5" xr:uid="{00000000-0005-0000-0000-000009000000}"/>
    <cellStyle name="Accent 3 16 2" xfId="22" xr:uid="{6299E66E-A53E-4046-ADF8-A6ACC9CCA9E7}"/>
    <cellStyle name="Accent 3 7" xfId="23" xr:uid="{3AB2DA75-DC7D-4B70-889F-9C4ACFFD6CAF}"/>
    <cellStyle name="Accent 4" xfId="24" xr:uid="{7303B8AD-37B0-494E-B59D-D6ED9C96FC56}"/>
    <cellStyle name="Bad 10" xfId="6" xr:uid="{00000000-0005-0000-0000-00000A000000}"/>
    <cellStyle name="Bad 10 2" xfId="25" xr:uid="{0B871581-262E-49DE-A9E4-B12A9D3A1D8D}"/>
    <cellStyle name="Bad 8" xfId="26" xr:uid="{C0E91AE6-3480-446B-80AF-94E01B895E21}"/>
    <cellStyle name="Error 12" xfId="7" xr:uid="{00000000-0005-0000-0000-00000B000000}"/>
    <cellStyle name="Error 9" xfId="27" xr:uid="{5536C0CF-1A9D-4775-8F04-81A29950AEC8}"/>
    <cellStyle name="Excel Built-in Percent 10" xfId="42" xr:uid="{F59931B8-1103-4EED-AF7F-188ED2BFC108}"/>
    <cellStyle name="Footnote 11" xfId="28" xr:uid="{7B4E3FD1-A892-4FD2-9020-A21A0C14538C}"/>
    <cellStyle name="Footnote 5" xfId="8" xr:uid="{00000000-0005-0000-0000-00000C000000}"/>
    <cellStyle name="Good 12" xfId="29" xr:uid="{234317C8-855D-4177-B80C-F06827C42EDF}"/>
    <cellStyle name="Good 8" xfId="9" xr:uid="{00000000-0005-0000-0000-00000D000000}"/>
    <cellStyle name="Good 8 2" xfId="30" xr:uid="{D1742217-0E77-4715-8328-0F6559960FA2}"/>
    <cellStyle name="Heading 1 1" xfId="10" xr:uid="{00000000-0005-0000-0000-00000E000000}"/>
    <cellStyle name="Heading 1 14" xfId="31" xr:uid="{2870B5F5-5DCD-4703-A596-45284FF425C6}"/>
    <cellStyle name="Heading 13" xfId="32" xr:uid="{153F0FE6-D9B8-41F7-B242-FA44452EC77A}"/>
    <cellStyle name="Heading 2 15" xfId="33" xr:uid="{979A97E6-8928-4D90-B9E2-A97C61995864}"/>
    <cellStyle name="Heading 2 2" xfId="11" xr:uid="{00000000-0005-0000-0000-00000F000000}"/>
    <cellStyle name="Hyperlink 16" xfId="34" xr:uid="{52B8BD74-1158-4923-8F73-C9662D7BEC8C}"/>
    <cellStyle name="Hyperlink 6" xfId="12" xr:uid="{00000000-0005-0000-0000-000010000000}"/>
    <cellStyle name="Moeda" xfId="48" builtinId="4"/>
    <cellStyle name="Neutral 17" xfId="35" xr:uid="{1D6C519B-EDD3-47D9-BD70-D5CC30A6130C}"/>
    <cellStyle name="Neutral 17 2" xfId="44" xr:uid="{8905226B-3529-4D5B-BF99-5DDF64DE0EB4}"/>
    <cellStyle name="Neutral 9" xfId="13" xr:uid="{00000000-0005-0000-0000-000011000000}"/>
    <cellStyle name="Neutral 9 2" xfId="45" xr:uid="{D4164F34-2452-4ED6-8A8B-6D71776117F3}"/>
    <cellStyle name="Normal" xfId="0" builtinId="0"/>
    <cellStyle name="Normal 2" xfId="18" xr:uid="{3BA1EBAD-955A-4667-BA1A-7DF8100FD7F4}"/>
    <cellStyle name="Note 18" xfId="36" xr:uid="{DB13D0FD-3E2B-47F6-98B9-E2EBC24FAAEA}"/>
    <cellStyle name="Note 18 2" xfId="46" xr:uid="{2316EB54-9E6F-4303-8D56-1C68669F15C6}"/>
    <cellStyle name="Note 4" xfId="14" xr:uid="{00000000-0005-0000-0000-000012000000}"/>
    <cellStyle name="Note 4 2" xfId="37" xr:uid="{6097D645-CC51-4EE7-8A75-010BFE1247AC}"/>
    <cellStyle name="Note 4 3" xfId="47" xr:uid="{EF3C5A60-0425-42A7-B38A-FE197C73D056}"/>
    <cellStyle name="Porcentagem" xfId="1" builtinId="5"/>
    <cellStyle name="Result 19" xfId="38" xr:uid="{6D42AA09-DF9A-4EFE-A2CD-9747D03372FC}"/>
    <cellStyle name="Status 20" xfId="39" xr:uid="{DFB7F9C2-7366-46AC-BBE4-DB8887835F9F}"/>
    <cellStyle name="Status 7" xfId="15" xr:uid="{00000000-0005-0000-0000-000013000000}"/>
    <cellStyle name="Text 21" xfId="40" xr:uid="{5AA490E3-3034-488F-AADC-62797D1FEE38}"/>
    <cellStyle name="Text 3" xfId="16" xr:uid="{00000000-0005-0000-0000-000014000000}"/>
    <cellStyle name="Warning 11" xfId="17" xr:uid="{00000000-0005-0000-0000-000015000000}"/>
    <cellStyle name="Warning 22" xfId="41" xr:uid="{0E150C8F-90D2-49DB-815C-2AFA1B2A13B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4EFB34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AEAAAA"/>
      <rgbColor rgb="FF993366"/>
      <rgbColor rgb="FFFFFFCC"/>
      <rgbColor rgb="FFE7E6E6"/>
      <rgbColor rgb="FF660066"/>
      <rgbColor rgb="FFFF8080"/>
      <rgbColor rgb="FF2A6099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99"/>
      <rgbColor rgb="FF99CCFF"/>
      <rgbColor rgb="FFFF99CC"/>
      <rgbColor rgb="FFB2B2B2"/>
      <rgbColor rgb="FFFFCCCC"/>
      <rgbColor rgb="FF3366FF"/>
      <rgbColor rgb="FF33CCCC"/>
      <rgbColor rgb="FF81D41A"/>
      <rgbColor rgb="FFFFCC00"/>
      <rgbColor rgb="FFFF8000"/>
      <rgbColor rgb="FFFF6600"/>
      <rgbColor rgb="FF666699"/>
      <rgbColor rgb="FF999999"/>
      <rgbColor rgb="FF003366"/>
      <rgbColor rgb="FF00A933"/>
      <rgbColor rgb="FF003300"/>
      <rgbColor rgb="FF40404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309281</xdr:colOff>
      <xdr:row>0</xdr:row>
      <xdr:rowOff>188259</xdr:rowOff>
    </xdr:from>
    <xdr:to>
      <xdr:col>16</xdr:col>
      <xdr:colOff>56029</xdr:colOff>
      <xdr:row>1</xdr:row>
      <xdr:rowOff>22038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706E9A28-19AD-40C4-B9AF-814B90000FD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08193" y="188259"/>
          <a:ext cx="3556748" cy="7302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1647282</xdr:colOff>
      <xdr:row>0</xdr:row>
      <xdr:rowOff>83758</xdr:rowOff>
    </xdr:from>
    <xdr:to>
      <xdr:col>11</xdr:col>
      <xdr:colOff>1046484</xdr:colOff>
      <xdr:row>0</xdr:row>
      <xdr:rowOff>779083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90C11C5B-D4EE-4C3B-83E1-8D2E3A306F61}"/>
            </a:ext>
          </a:extLst>
        </xdr:cNvPr>
        <xdr:cNvPicPr/>
      </xdr:nvPicPr>
      <xdr:blipFill>
        <a:blip xmlns:r="http://schemas.openxmlformats.org/officeDocument/2006/relationships" r:embed="rId1"/>
        <a:srcRect l="1448" t="6138" r="2806" b="12072"/>
        <a:stretch/>
      </xdr:blipFill>
      <xdr:spPr>
        <a:xfrm>
          <a:off x="1647282" y="83758"/>
          <a:ext cx="4165784" cy="68770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1841320</xdr:colOff>
      <xdr:row>0</xdr:row>
      <xdr:rowOff>110762</xdr:rowOff>
    </xdr:from>
    <xdr:to>
      <xdr:col>4</xdr:col>
      <xdr:colOff>584292</xdr:colOff>
      <xdr:row>0</xdr:row>
      <xdr:rowOff>644162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7F8BC736-9AB9-4860-875C-1EB4D94683F1}"/>
            </a:ext>
          </a:extLst>
        </xdr:cNvPr>
        <xdr:cNvPicPr/>
      </xdr:nvPicPr>
      <xdr:blipFill>
        <a:blip xmlns:r="http://schemas.openxmlformats.org/officeDocument/2006/relationships" r:embed="rId1"/>
        <a:srcRect l="1448" t="6138" r="2806" b="12072"/>
        <a:stretch/>
      </xdr:blipFill>
      <xdr:spPr>
        <a:xfrm>
          <a:off x="1841320" y="110762"/>
          <a:ext cx="3328579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zoomScale="90" zoomScaleNormal="90" workbookViewId="0">
      <selection activeCell="A71" sqref="A71:D71"/>
    </sheetView>
  </sheetViews>
  <sheetFormatPr defaultColWidth="11.5703125" defaultRowHeight="15.75"/>
  <cols>
    <col min="1" max="1" width="28.85546875" style="89" customWidth="1"/>
    <col min="2" max="2" width="44.28515625" style="89" bestFit="1" customWidth="1"/>
    <col min="3" max="3" width="22.7109375" style="89" customWidth="1"/>
    <col min="4" max="4" width="43.140625" style="89" customWidth="1"/>
    <col min="5" max="16384" width="11.5703125" style="89"/>
  </cols>
  <sheetData>
    <row r="1" spans="1:8">
      <c r="A1" s="487" t="s">
        <v>0</v>
      </c>
      <c r="B1" s="487"/>
      <c r="C1" s="487"/>
      <c r="D1" s="487"/>
    </row>
    <row r="2" spans="1:8">
      <c r="A2" s="488"/>
      <c r="B2" s="488"/>
      <c r="C2" s="488"/>
      <c r="D2" s="488"/>
    </row>
    <row r="3" spans="1:8" ht="37.5" customHeight="1">
      <c r="A3" s="86" t="s">
        <v>1</v>
      </c>
      <c r="B3" s="84">
        <v>2340194</v>
      </c>
      <c r="C3" s="90" t="s">
        <v>2</v>
      </c>
      <c r="D3" s="91">
        <v>202100010000417</v>
      </c>
    </row>
    <row r="4" spans="1:8" ht="34.5" customHeight="1">
      <c r="A4" s="86" t="s">
        <v>3</v>
      </c>
      <c r="B4" s="92" t="s">
        <v>4</v>
      </c>
      <c r="C4" s="93" t="s">
        <v>5</v>
      </c>
      <c r="D4" s="7" t="s">
        <v>93</v>
      </c>
    </row>
    <row r="5" spans="1:8" ht="18" customHeight="1">
      <c r="A5" s="93" t="s">
        <v>6</v>
      </c>
      <c r="B5" s="489" t="s">
        <v>7</v>
      </c>
      <c r="C5" s="489"/>
      <c r="D5" s="489"/>
    </row>
    <row r="6" spans="1:8">
      <c r="A6" s="471" t="s">
        <v>8</v>
      </c>
      <c r="B6" s="471"/>
      <c r="C6" s="471"/>
      <c r="D6" s="471"/>
    </row>
    <row r="7" spans="1:8" ht="138" customHeight="1">
      <c r="A7" s="486" t="s">
        <v>9</v>
      </c>
      <c r="B7" s="486"/>
      <c r="C7" s="486"/>
      <c r="D7" s="486"/>
    </row>
    <row r="8" spans="1:8" ht="135.75" customHeight="1">
      <c r="A8" s="486" t="s">
        <v>10</v>
      </c>
      <c r="B8" s="486"/>
      <c r="C8" s="486"/>
      <c r="D8" s="486"/>
    </row>
    <row r="9" spans="1:8">
      <c r="A9" s="94"/>
      <c r="B9" s="94"/>
      <c r="C9" s="94"/>
      <c r="D9" s="94"/>
    </row>
    <row r="10" spans="1:8" ht="47.25" customHeight="1">
      <c r="A10" s="470" t="s">
        <v>11</v>
      </c>
      <c r="B10" s="470"/>
      <c r="C10" s="470" t="s">
        <v>12</v>
      </c>
      <c r="D10" s="470"/>
    </row>
    <row r="11" spans="1:8" ht="40.5" customHeight="1">
      <c r="A11" s="477" t="s">
        <v>13</v>
      </c>
      <c r="B11" s="1" t="s">
        <v>14</v>
      </c>
      <c r="C11" s="468">
        <v>155</v>
      </c>
      <c r="D11" s="468"/>
      <c r="H11" s="89">
        <f>155+203+107+6+6+49</f>
        <v>526</v>
      </c>
    </row>
    <row r="12" spans="1:8" ht="20.25" customHeight="1">
      <c r="A12" s="478"/>
      <c r="B12" s="1" t="s">
        <v>94</v>
      </c>
      <c r="C12" s="468">
        <v>203</v>
      </c>
      <c r="D12" s="468"/>
    </row>
    <row r="13" spans="1:8">
      <c r="A13" s="478"/>
      <c r="B13" s="95" t="s">
        <v>95</v>
      </c>
      <c r="C13" s="468" t="s">
        <v>134</v>
      </c>
      <c r="D13" s="468"/>
    </row>
    <row r="14" spans="1:8">
      <c r="A14" s="479"/>
      <c r="B14" s="95" t="s">
        <v>15</v>
      </c>
      <c r="C14" s="484">
        <v>0</v>
      </c>
      <c r="D14" s="484"/>
      <c r="H14" s="89">
        <f>104+104+129</f>
        <v>337</v>
      </c>
    </row>
    <row r="15" spans="1:8">
      <c r="A15" s="90"/>
      <c r="B15" s="485"/>
      <c r="C15" s="485"/>
      <c r="D15" s="485"/>
    </row>
    <row r="16" spans="1:8">
      <c r="A16" s="480" t="s">
        <v>96</v>
      </c>
      <c r="B16" s="96" t="s">
        <v>97</v>
      </c>
      <c r="C16" s="476">
        <v>6</v>
      </c>
      <c r="D16" s="476"/>
      <c r="H16" s="89">
        <f>C12+C16+C17+C18</f>
        <v>264</v>
      </c>
    </row>
    <row r="17" spans="1:4">
      <c r="A17" s="481"/>
      <c r="B17" s="88" t="s">
        <v>98</v>
      </c>
      <c r="C17" s="476">
        <v>6</v>
      </c>
      <c r="D17" s="476"/>
    </row>
    <row r="18" spans="1:4" ht="30">
      <c r="A18" s="482"/>
      <c r="B18" s="95" t="s">
        <v>99</v>
      </c>
      <c r="C18" s="476">
        <v>49</v>
      </c>
      <c r="D18" s="476"/>
    </row>
    <row r="19" spans="1:4">
      <c r="A19" s="90"/>
      <c r="B19" s="1"/>
      <c r="C19" s="468"/>
      <c r="D19" s="468"/>
    </row>
    <row r="20" spans="1:4" ht="15" customHeight="1">
      <c r="A20" s="470" t="s">
        <v>61</v>
      </c>
      <c r="B20" s="1" t="s">
        <v>100</v>
      </c>
      <c r="C20" s="483">
        <v>1250</v>
      </c>
      <c r="D20" s="483"/>
    </row>
    <row r="21" spans="1:4" ht="15" customHeight="1">
      <c r="A21" s="470"/>
      <c r="B21" s="1" t="s">
        <v>101</v>
      </c>
      <c r="C21" s="468">
        <v>950</v>
      </c>
      <c r="D21" s="468"/>
    </row>
    <row r="22" spans="1:4">
      <c r="A22" s="470"/>
      <c r="B22" s="1" t="s">
        <v>102</v>
      </c>
      <c r="C22" s="468">
        <v>180</v>
      </c>
      <c r="D22" s="468"/>
    </row>
    <row r="23" spans="1:4">
      <c r="A23" s="467"/>
      <c r="B23" s="467"/>
      <c r="C23" s="467"/>
      <c r="D23" s="467"/>
    </row>
    <row r="24" spans="1:4" ht="15" customHeight="1">
      <c r="A24" s="461" t="s">
        <v>16</v>
      </c>
      <c r="B24" s="1" t="s">
        <v>17</v>
      </c>
      <c r="C24" s="468">
        <v>80</v>
      </c>
      <c r="D24" s="468"/>
    </row>
    <row r="25" spans="1:4" ht="15" customHeight="1">
      <c r="A25" s="473"/>
      <c r="B25" s="1" t="s">
        <v>18</v>
      </c>
      <c r="C25" s="468">
        <v>45</v>
      </c>
      <c r="D25" s="468"/>
    </row>
    <row r="26" spans="1:4" ht="15" customHeight="1">
      <c r="A26" s="473"/>
      <c r="B26" s="1" t="s">
        <v>103</v>
      </c>
      <c r="C26" s="468">
        <v>10</v>
      </c>
      <c r="D26" s="468"/>
    </row>
    <row r="27" spans="1:4" ht="15" customHeight="1">
      <c r="A27" s="473"/>
      <c r="B27" s="1" t="s">
        <v>19</v>
      </c>
      <c r="C27" s="468">
        <v>70</v>
      </c>
      <c r="D27" s="468"/>
    </row>
    <row r="28" spans="1:4" ht="15" customHeight="1">
      <c r="A28" s="473"/>
      <c r="B28" s="1" t="s">
        <v>104</v>
      </c>
      <c r="C28" s="468">
        <v>10</v>
      </c>
      <c r="D28" s="468"/>
    </row>
    <row r="29" spans="1:4" ht="15" customHeight="1">
      <c r="A29" s="473"/>
      <c r="B29" s="1" t="s">
        <v>105</v>
      </c>
      <c r="C29" s="468">
        <v>200</v>
      </c>
      <c r="D29" s="468"/>
    </row>
    <row r="30" spans="1:4" ht="15" customHeight="1">
      <c r="A30" s="473"/>
      <c r="B30" s="1" t="s">
        <v>106</v>
      </c>
      <c r="C30" s="468">
        <v>80</v>
      </c>
      <c r="D30" s="468"/>
    </row>
    <row r="31" spans="1:4">
      <c r="A31" s="472"/>
      <c r="B31" s="1" t="s">
        <v>107</v>
      </c>
      <c r="C31" s="474">
        <v>300</v>
      </c>
      <c r="D31" s="475"/>
    </row>
    <row r="32" spans="1:4">
      <c r="A32" s="467"/>
      <c r="B32" s="467"/>
      <c r="C32" s="467"/>
      <c r="D32" s="467"/>
    </row>
    <row r="33" spans="1:4">
      <c r="A33" s="461" t="s">
        <v>126</v>
      </c>
      <c r="B33" s="3" t="s">
        <v>126</v>
      </c>
      <c r="C33" s="468">
        <v>3307</v>
      </c>
      <c r="D33" s="468"/>
    </row>
    <row r="34" spans="1:4" ht="21.75" customHeight="1">
      <c r="A34" s="472"/>
      <c r="B34" s="3" t="s">
        <v>127</v>
      </c>
      <c r="C34" s="468">
        <v>275</v>
      </c>
      <c r="D34" s="468"/>
    </row>
    <row r="35" spans="1:4">
      <c r="A35" s="469"/>
      <c r="B35" s="469"/>
      <c r="C35" s="469"/>
      <c r="D35" s="469"/>
    </row>
    <row r="36" spans="1:4" ht="15" customHeight="1">
      <c r="A36" s="470" t="s">
        <v>22</v>
      </c>
      <c r="B36" s="471" t="s">
        <v>23</v>
      </c>
      <c r="C36" s="471"/>
      <c r="D36" s="2" t="s">
        <v>24</v>
      </c>
    </row>
    <row r="37" spans="1:4" ht="15" customHeight="1">
      <c r="A37" s="470"/>
      <c r="B37" s="85" t="s">
        <v>135</v>
      </c>
      <c r="C37" s="85"/>
      <c r="D37" s="5" t="s">
        <v>25</v>
      </c>
    </row>
    <row r="38" spans="1:4" ht="15" customHeight="1">
      <c r="A38" s="470"/>
      <c r="B38" s="85" t="s">
        <v>136</v>
      </c>
      <c r="C38" s="85"/>
      <c r="D38" s="5" t="s">
        <v>26</v>
      </c>
    </row>
    <row r="39" spans="1:4" ht="26.25" customHeight="1">
      <c r="A39" s="470"/>
      <c r="B39" s="85" t="s">
        <v>137</v>
      </c>
      <c r="C39" s="85"/>
      <c r="D39" s="4" t="s">
        <v>108</v>
      </c>
    </row>
    <row r="40" spans="1:4" ht="15" customHeight="1">
      <c r="A40" s="470"/>
      <c r="B40" s="85" t="s">
        <v>138</v>
      </c>
      <c r="C40" s="85"/>
      <c r="D40" s="5" t="s">
        <v>27</v>
      </c>
    </row>
    <row r="41" spans="1:4" ht="15" customHeight="1">
      <c r="A41" s="470"/>
      <c r="B41" s="85" t="s">
        <v>139</v>
      </c>
      <c r="C41" s="85"/>
      <c r="D41" s="5" t="s">
        <v>109</v>
      </c>
    </row>
    <row r="42" spans="1:4" ht="26.25" customHeight="1">
      <c r="A42" s="470"/>
      <c r="B42" s="85" t="s">
        <v>140</v>
      </c>
      <c r="C42" s="85"/>
      <c r="D42" s="5" t="s">
        <v>110</v>
      </c>
    </row>
    <row r="43" spans="1:4" ht="55.5" customHeight="1">
      <c r="A43" s="470"/>
      <c r="B43" s="85" t="s">
        <v>141</v>
      </c>
      <c r="C43" s="85"/>
      <c r="D43" s="5" t="s">
        <v>111</v>
      </c>
    </row>
    <row r="44" spans="1:4" ht="58.5" customHeight="1">
      <c r="A44" s="470"/>
      <c r="B44" s="98" t="s">
        <v>142</v>
      </c>
      <c r="C44" s="99"/>
      <c r="D44" s="5" t="s">
        <v>121</v>
      </c>
    </row>
    <row r="45" spans="1:4" ht="42.6" customHeight="1">
      <c r="A45" s="470"/>
      <c r="B45" s="98" t="s">
        <v>143</v>
      </c>
      <c r="C45" s="99"/>
      <c r="D45" s="5" t="s">
        <v>122</v>
      </c>
    </row>
    <row r="46" spans="1:4" ht="42.6" customHeight="1">
      <c r="A46" s="470"/>
      <c r="B46" s="98" t="s">
        <v>144</v>
      </c>
      <c r="C46" s="99"/>
      <c r="D46" s="100" t="s">
        <v>28</v>
      </c>
    </row>
    <row r="47" spans="1:4" ht="43.5" customHeight="1">
      <c r="A47" s="470"/>
      <c r="B47" s="85" t="s">
        <v>145</v>
      </c>
      <c r="C47" s="85"/>
      <c r="D47" s="6">
        <v>1</v>
      </c>
    </row>
    <row r="48" spans="1:4" ht="26.25" customHeight="1">
      <c r="A48" s="470"/>
      <c r="B48" s="85" t="s">
        <v>146</v>
      </c>
      <c r="C48" s="85"/>
      <c r="D48" s="5" t="s">
        <v>29</v>
      </c>
    </row>
    <row r="49" spans="1:5" ht="39.75" customHeight="1">
      <c r="A49" s="470"/>
      <c r="B49" s="85" t="s">
        <v>147</v>
      </c>
      <c r="C49" s="85"/>
      <c r="D49" s="100" t="s">
        <v>123</v>
      </c>
    </row>
    <row r="50" spans="1:5" ht="39.75" customHeight="1">
      <c r="A50" s="83"/>
      <c r="B50" s="98" t="s">
        <v>148</v>
      </c>
      <c r="C50" s="99"/>
      <c r="D50" s="100" t="s">
        <v>123</v>
      </c>
    </row>
    <row r="51" spans="1:5" ht="39.75" customHeight="1">
      <c r="A51" s="83"/>
      <c r="B51" s="98" t="s">
        <v>149</v>
      </c>
      <c r="C51" s="99"/>
      <c r="D51" s="100" t="s">
        <v>123</v>
      </c>
    </row>
    <row r="52" spans="1:5" ht="39.75" customHeight="1">
      <c r="A52" s="83"/>
      <c r="B52" s="98" t="s">
        <v>150</v>
      </c>
      <c r="C52" s="99"/>
      <c r="D52" s="100" t="s">
        <v>125</v>
      </c>
    </row>
    <row r="53" spans="1:5" ht="39.75" customHeight="1">
      <c r="A53" s="83"/>
      <c r="B53" s="98" t="s">
        <v>151</v>
      </c>
      <c r="C53" s="99"/>
      <c r="D53" s="100" t="s">
        <v>124</v>
      </c>
    </row>
    <row r="54" spans="1:5">
      <c r="A54" s="471" t="s">
        <v>30</v>
      </c>
      <c r="B54" s="471"/>
      <c r="C54" s="471"/>
      <c r="D54" s="471"/>
    </row>
    <row r="55" spans="1:5" ht="15" customHeight="1">
      <c r="A55" s="465" t="s">
        <v>31</v>
      </c>
      <c r="B55" s="465"/>
      <c r="C55" s="490" t="s">
        <v>32</v>
      </c>
      <c r="D55" s="490"/>
      <c r="E55" s="97" t="s">
        <v>112</v>
      </c>
    </row>
    <row r="56" spans="1:5" ht="15" customHeight="1">
      <c r="A56" s="491" t="s">
        <v>33</v>
      </c>
      <c r="B56" s="491"/>
      <c r="C56" s="463">
        <v>24</v>
      </c>
      <c r="D56" s="463"/>
      <c r="E56" s="89" t="s">
        <v>113</v>
      </c>
    </row>
    <row r="57" spans="1:5" ht="15" customHeight="1">
      <c r="A57" s="491" t="s">
        <v>34</v>
      </c>
      <c r="B57" s="491"/>
      <c r="C57" s="463">
        <v>19</v>
      </c>
      <c r="D57" s="463"/>
    </row>
    <row r="58" spans="1:5" ht="15" customHeight="1">
      <c r="A58" s="492" t="s">
        <v>35</v>
      </c>
      <c r="B58" s="492"/>
      <c r="C58" s="463">
        <v>11</v>
      </c>
      <c r="D58" s="463"/>
    </row>
    <row r="59" spans="1:5" ht="15" customHeight="1">
      <c r="A59" s="492" t="s">
        <v>114</v>
      </c>
      <c r="B59" s="492"/>
      <c r="C59" s="463">
        <v>7</v>
      </c>
      <c r="D59" s="463"/>
    </row>
    <row r="60" spans="1:5" ht="15" customHeight="1">
      <c r="A60" s="492" t="s">
        <v>115</v>
      </c>
      <c r="B60" s="492"/>
      <c r="C60" s="463">
        <v>4</v>
      </c>
      <c r="D60" s="463"/>
    </row>
    <row r="61" spans="1:5" ht="15" customHeight="1">
      <c r="A61" s="492" t="s">
        <v>116</v>
      </c>
      <c r="B61" s="492"/>
      <c r="C61" s="463">
        <v>2</v>
      </c>
      <c r="D61" s="463"/>
    </row>
    <row r="62" spans="1:5" ht="15" customHeight="1">
      <c r="A62" s="464" t="s">
        <v>36</v>
      </c>
      <c r="B62" s="464"/>
      <c r="C62" s="465">
        <f>SUM(C56:D61)</f>
        <v>67</v>
      </c>
      <c r="D62" s="465"/>
    </row>
    <row r="63" spans="1:5" ht="15" customHeight="1">
      <c r="A63" s="466" t="s">
        <v>37</v>
      </c>
      <c r="B63" s="466"/>
      <c r="C63" s="463">
        <v>3</v>
      </c>
      <c r="D63" s="463"/>
    </row>
    <row r="64" spans="1:5" ht="15" customHeight="1">
      <c r="A64" s="462" t="s">
        <v>117</v>
      </c>
      <c r="B64" s="462"/>
      <c r="C64" s="463">
        <v>2</v>
      </c>
      <c r="D64" s="463"/>
    </row>
    <row r="65" spans="1:4" ht="15" customHeight="1">
      <c r="A65" s="462" t="s">
        <v>120</v>
      </c>
      <c r="B65" s="462"/>
      <c r="C65" s="463">
        <v>9</v>
      </c>
      <c r="D65" s="463"/>
    </row>
    <row r="66" spans="1:4" ht="15" customHeight="1">
      <c r="A66" s="462" t="s">
        <v>38</v>
      </c>
      <c r="B66" s="462"/>
      <c r="C66" s="463">
        <v>3</v>
      </c>
      <c r="D66" s="463"/>
    </row>
    <row r="67" spans="1:4" ht="15" customHeight="1">
      <c r="A67" s="462" t="s">
        <v>119</v>
      </c>
      <c r="B67" s="462"/>
      <c r="C67" s="463">
        <v>10</v>
      </c>
      <c r="D67" s="463"/>
    </row>
    <row r="68" spans="1:4" ht="15" customHeight="1">
      <c r="A68" s="462" t="s">
        <v>39</v>
      </c>
      <c r="B68" s="462"/>
      <c r="C68" s="463">
        <v>2</v>
      </c>
      <c r="D68" s="463"/>
    </row>
    <row r="69" spans="1:4" ht="15" customHeight="1">
      <c r="A69" s="462" t="s">
        <v>40</v>
      </c>
      <c r="B69" s="462"/>
      <c r="C69" s="463">
        <v>2</v>
      </c>
      <c r="D69" s="463"/>
    </row>
    <row r="70" spans="1:4" ht="15" customHeight="1">
      <c r="A70" s="462" t="s">
        <v>118</v>
      </c>
      <c r="B70" s="462"/>
      <c r="C70" s="463">
        <v>2</v>
      </c>
      <c r="D70" s="463"/>
    </row>
    <row r="71" spans="1:4">
      <c r="A71" s="461" t="s">
        <v>41</v>
      </c>
      <c r="B71" s="461"/>
      <c r="C71" s="461"/>
      <c r="D71" s="461"/>
    </row>
    <row r="72" spans="1:4">
      <c r="A72" s="460"/>
      <c r="B72" s="460"/>
      <c r="C72" s="460"/>
      <c r="D72" s="460"/>
    </row>
    <row r="73" spans="1:4">
      <c r="A73" s="460"/>
      <c r="B73" s="460"/>
      <c r="C73" s="460"/>
      <c r="D73" s="87"/>
    </row>
  </sheetData>
  <mergeCells count="76">
    <mergeCell ref="A54:D54"/>
    <mergeCell ref="A55:B55"/>
    <mergeCell ref="C55:D55"/>
    <mergeCell ref="A56:B56"/>
    <mergeCell ref="A65:B65"/>
    <mergeCell ref="C65:D65"/>
    <mergeCell ref="A59:B59"/>
    <mergeCell ref="C59:D59"/>
    <mergeCell ref="A60:B60"/>
    <mergeCell ref="C60:D60"/>
    <mergeCell ref="A61:B61"/>
    <mergeCell ref="C61:D61"/>
    <mergeCell ref="C56:D56"/>
    <mergeCell ref="A57:B57"/>
    <mergeCell ref="C57:D57"/>
    <mergeCell ref="A58:B58"/>
    <mergeCell ref="A1:D1"/>
    <mergeCell ref="A2:D2"/>
    <mergeCell ref="B5:D5"/>
    <mergeCell ref="A6:D6"/>
    <mergeCell ref="A7:D7"/>
    <mergeCell ref="A8:D8"/>
    <mergeCell ref="A10:B10"/>
    <mergeCell ref="C10:D10"/>
    <mergeCell ref="C11:D11"/>
    <mergeCell ref="C12:D12"/>
    <mergeCell ref="C18:D18"/>
    <mergeCell ref="C19:D19"/>
    <mergeCell ref="A11:A14"/>
    <mergeCell ref="A16:A18"/>
    <mergeCell ref="A20:A22"/>
    <mergeCell ref="C20:D20"/>
    <mergeCell ref="C22:D22"/>
    <mergeCell ref="C13:D13"/>
    <mergeCell ref="C14:D14"/>
    <mergeCell ref="B15:D15"/>
    <mergeCell ref="C16:D16"/>
    <mergeCell ref="C17:D17"/>
    <mergeCell ref="A23:D23"/>
    <mergeCell ref="C21:D21"/>
    <mergeCell ref="A24:A31"/>
    <mergeCell ref="C31:D31"/>
    <mergeCell ref="C24:D24"/>
    <mergeCell ref="C25:D25"/>
    <mergeCell ref="C26:D26"/>
    <mergeCell ref="C27:D27"/>
    <mergeCell ref="C28:D28"/>
    <mergeCell ref="C29:D29"/>
    <mergeCell ref="C30:D30"/>
    <mergeCell ref="A32:D32"/>
    <mergeCell ref="C34:D34"/>
    <mergeCell ref="A35:D35"/>
    <mergeCell ref="A36:A49"/>
    <mergeCell ref="B36:C36"/>
    <mergeCell ref="A33:A34"/>
    <mergeCell ref="C33:D33"/>
    <mergeCell ref="C58:D58"/>
    <mergeCell ref="A62:B62"/>
    <mergeCell ref="C62:D62"/>
    <mergeCell ref="A63:B63"/>
    <mergeCell ref="C63:D63"/>
    <mergeCell ref="A67:B67"/>
    <mergeCell ref="C67:D67"/>
    <mergeCell ref="A72:D72"/>
    <mergeCell ref="A64:B64"/>
    <mergeCell ref="C64:D64"/>
    <mergeCell ref="A66:B66"/>
    <mergeCell ref="C66:D66"/>
    <mergeCell ref="A68:B68"/>
    <mergeCell ref="C68:D68"/>
    <mergeCell ref="A73:C73"/>
    <mergeCell ref="A71:D71"/>
    <mergeCell ref="A70:B70"/>
    <mergeCell ref="C70:D70"/>
    <mergeCell ref="A69:B69"/>
    <mergeCell ref="C69:D69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&amp;C&amp;"Arial,Normal"&amp;10&amp;Kffffff&amp;A</oddHeader>
    <oddFooter>&amp;C&amp;"Arial,Normal"&amp;10&amp;KffffffPágina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17"/>
  <sheetViews>
    <sheetView showGridLines="0" view="pageBreakPreview" zoomScale="85" zoomScaleNormal="85" zoomScaleSheetLayoutView="85" workbookViewId="0">
      <selection activeCell="Y2" sqref="Y2"/>
    </sheetView>
  </sheetViews>
  <sheetFormatPr defaultColWidth="11.5703125" defaultRowHeight="14.25"/>
  <cols>
    <col min="1" max="1" width="37.42578125" style="61" customWidth="1"/>
    <col min="2" max="2" width="15.28515625" style="61" customWidth="1"/>
    <col min="3" max="3" width="0.28515625" style="61" hidden="1" customWidth="1"/>
    <col min="4" max="5" width="11" style="61" customWidth="1"/>
    <col min="6" max="6" width="7.28515625" style="61" bestFit="1" customWidth="1"/>
    <col min="7" max="7" width="6.42578125" style="61" hidden="1" customWidth="1"/>
    <col min="8" max="8" width="8.28515625" style="61" hidden="1" customWidth="1"/>
    <col min="9" max="9" width="7.42578125" style="61" hidden="1" customWidth="1"/>
    <col min="10" max="10" width="9.140625" style="61" hidden="1" customWidth="1"/>
    <col min="11" max="11" width="10.42578125" style="61" hidden="1" customWidth="1"/>
    <col min="12" max="12" width="11" style="61" hidden="1" customWidth="1"/>
    <col min="13" max="13" width="12.7109375" style="61" hidden="1" customWidth="1"/>
    <col min="14" max="14" width="12.5703125" style="61" hidden="1" customWidth="1"/>
    <col min="15" max="15" width="11.42578125" style="61" hidden="1" customWidth="1"/>
    <col min="16" max="16" width="12.7109375" style="61" customWidth="1"/>
    <col min="17" max="17" width="14.28515625" style="61" customWidth="1"/>
    <col min="18" max="18" width="16.42578125" style="61" customWidth="1"/>
    <col min="19" max="19" width="13.28515625" style="61" customWidth="1"/>
    <col min="20" max="20" width="13.5703125" style="61" customWidth="1"/>
    <col min="21" max="21" width="12.28515625" style="61" customWidth="1"/>
    <col min="22" max="22" width="15.140625" style="61" customWidth="1"/>
    <col min="23" max="1018" width="8.7109375" style="61" customWidth="1"/>
    <col min="1019" max="16384" width="11.5703125" style="61"/>
  </cols>
  <sheetData>
    <row r="1" spans="1:19" ht="70.900000000000006" customHeigh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19" ht="41.25" customHeight="1">
      <c r="A2" s="508" t="s">
        <v>303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19" ht="14.45" customHeight="1">
      <c r="A3" s="493"/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</row>
    <row r="4" spans="1:19" ht="40.5" customHeight="1">
      <c r="A4" s="63" t="s">
        <v>243</v>
      </c>
      <c r="B4" s="63" t="s">
        <v>248</v>
      </c>
      <c r="C4" s="63"/>
      <c r="D4" s="65" t="s">
        <v>43</v>
      </c>
      <c r="E4" s="65" t="s">
        <v>44</v>
      </c>
      <c r="F4" s="65" t="s">
        <v>45</v>
      </c>
      <c r="G4" s="65" t="s">
        <v>46</v>
      </c>
      <c r="H4" s="65" t="s">
        <v>47</v>
      </c>
      <c r="I4" s="65" t="s">
        <v>48</v>
      </c>
      <c r="J4" s="65" t="s">
        <v>49</v>
      </c>
      <c r="K4" s="65" t="s">
        <v>50</v>
      </c>
      <c r="L4" s="65" t="s">
        <v>51</v>
      </c>
      <c r="M4" s="65" t="s">
        <v>52</v>
      </c>
      <c r="N4" s="65" t="s">
        <v>53</v>
      </c>
      <c r="O4" s="65" t="s">
        <v>54</v>
      </c>
      <c r="P4" s="112" t="s">
        <v>317</v>
      </c>
      <c r="Q4" s="63" t="s">
        <v>55</v>
      </c>
      <c r="R4" s="63" t="s">
        <v>56</v>
      </c>
      <c r="S4" s="112" t="s">
        <v>57</v>
      </c>
    </row>
    <row r="5" spans="1:19" ht="26.25" customHeight="1">
      <c r="A5" s="201" t="str">
        <f>'Síntese '!B11</f>
        <v>Saídas de Clinica Médica</v>
      </c>
      <c r="B5" s="66" cm="1">
        <f t="array" ref="B5:C5">'Síntese '!C11:D11</f>
        <v>155</v>
      </c>
      <c r="C5" s="66">
        <v>0</v>
      </c>
      <c r="D5" s="293">
        <v>149</v>
      </c>
      <c r="E5" s="293">
        <v>147</v>
      </c>
      <c r="F5" s="293">
        <v>151</v>
      </c>
      <c r="G5" s="67"/>
      <c r="H5" s="67"/>
      <c r="I5" s="67"/>
      <c r="J5" s="67"/>
      <c r="K5" s="67"/>
      <c r="L5" s="67"/>
      <c r="M5" s="67"/>
      <c r="N5" s="255"/>
      <c r="O5" s="255"/>
      <c r="P5" s="111">
        <f>F5/B5</f>
        <v>0.97419354838709682</v>
      </c>
      <c r="Q5" s="195">
        <f>B5*12</f>
        <v>1860</v>
      </c>
      <c r="R5" s="195">
        <f>SUM(D5:O5)</f>
        <v>447</v>
      </c>
      <c r="S5" s="378">
        <f>R5/Q5</f>
        <v>0.24032258064516129</v>
      </c>
    </row>
    <row r="6" spans="1:19" ht="21.75" customHeight="1">
      <c r="A6" s="201" t="str">
        <f>'Síntese '!B12</f>
        <v>Saídas Cirúrgicas</v>
      </c>
      <c r="B6" s="66" cm="1">
        <f t="array" ref="B6:C6">'Síntese '!C12:D12</f>
        <v>203</v>
      </c>
      <c r="C6" s="66">
        <v>0</v>
      </c>
      <c r="D6" s="293">
        <v>209</v>
      </c>
      <c r="E6" s="293">
        <v>204</v>
      </c>
      <c r="F6" s="293">
        <v>220</v>
      </c>
      <c r="G6" s="67"/>
      <c r="H6" s="67"/>
      <c r="I6" s="67"/>
      <c r="J6" s="67"/>
      <c r="K6" s="67"/>
      <c r="L6" s="67"/>
      <c r="M6" s="67"/>
      <c r="N6" s="255"/>
      <c r="O6" s="255"/>
      <c r="P6" s="111">
        <f>F6/B6</f>
        <v>1.083743842364532</v>
      </c>
      <c r="Q6" s="195">
        <f>B6*12</f>
        <v>2436</v>
      </c>
      <c r="R6" s="195">
        <f>SUM(D6:O6)</f>
        <v>633</v>
      </c>
      <c r="S6" s="378">
        <f t="shared" ref="S6:S7" si="0">R6/Q6</f>
        <v>0.25985221674876846</v>
      </c>
    </row>
    <row r="7" spans="1:19" ht="27.6" customHeight="1">
      <c r="A7" s="201" t="str">
        <f>'Síntese '!B13</f>
        <v>Saídas Obstétricas</v>
      </c>
      <c r="B7" s="66">
        <v>127</v>
      </c>
      <c r="C7" s="66">
        <v>0</v>
      </c>
      <c r="D7" s="293">
        <v>142</v>
      </c>
      <c r="E7" s="293">
        <v>124</v>
      </c>
      <c r="F7" s="293">
        <v>132</v>
      </c>
      <c r="G7" s="67"/>
      <c r="H7" s="67"/>
      <c r="I7" s="67"/>
      <c r="J7" s="67"/>
      <c r="K7" s="67"/>
      <c r="L7" s="67"/>
      <c r="M7" s="67"/>
      <c r="N7" s="255"/>
      <c r="O7" s="255"/>
      <c r="P7" s="111">
        <f>F7/B7</f>
        <v>1.0393700787401574</v>
      </c>
      <c r="Q7" s="195">
        <f>B7*12</f>
        <v>1524</v>
      </c>
      <c r="R7" s="195">
        <f>SUM(D7:O7)</f>
        <v>398</v>
      </c>
      <c r="S7" s="378">
        <f t="shared" si="0"/>
        <v>0.26115485564304464</v>
      </c>
    </row>
    <row r="8" spans="1:19" ht="21.75" customHeight="1">
      <c r="A8" s="63" t="s">
        <v>59</v>
      </c>
      <c r="B8" s="66">
        <f>SUM(B5:B7)</f>
        <v>485</v>
      </c>
      <c r="C8" s="66"/>
      <c r="D8" s="66">
        <f>SUM(D5:D7)</f>
        <v>500</v>
      </c>
      <c r="E8" s="66">
        <f>SUM(E5:E7)</f>
        <v>475</v>
      </c>
      <c r="F8" s="66">
        <f>SUM(F5:F7)</f>
        <v>503</v>
      </c>
      <c r="G8" s="66">
        <f t="shared" ref="G8:N8" si="1">SUM(G5:G7)</f>
        <v>0</v>
      </c>
      <c r="H8" s="66">
        <f t="shared" si="1"/>
        <v>0</v>
      </c>
      <c r="I8" s="66">
        <f t="shared" si="1"/>
        <v>0</v>
      </c>
      <c r="J8" s="66">
        <f t="shared" si="1"/>
        <v>0</v>
      </c>
      <c r="K8" s="66">
        <f t="shared" si="1"/>
        <v>0</v>
      </c>
      <c r="L8" s="66">
        <f t="shared" si="1"/>
        <v>0</v>
      </c>
      <c r="M8" s="66">
        <f t="shared" si="1"/>
        <v>0</v>
      </c>
      <c r="N8" s="66">
        <f t="shared" si="1"/>
        <v>0</v>
      </c>
      <c r="O8" s="66">
        <f>SUM(O5:O7)</f>
        <v>0</v>
      </c>
      <c r="P8" s="402">
        <f>F8/B8</f>
        <v>1.0371134020618558</v>
      </c>
      <c r="Q8" s="376">
        <f>B8*12</f>
        <v>5820</v>
      </c>
      <c r="R8" s="376">
        <f>SUM(D8:O8)</f>
        <v>1478</v>
      </c>
      <c r="S8" s="379">
        <f>R8/Q8</f>
        <v>0.25395189003436425</v>
      </c>
    </row>
    <row r="9" spans="1:19" ht="14.45" customHeight="1">
      <c r="A9" s="493"/>
      <c r="B9" s="493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</row>
    <row r="10" spans="1:19" ht="40.15" customHeight="1">
      <c r="A10" s="63" t="s">
        <v>58</v>
      </c>
      <c r="B10" s="63" t="s">
        <v>248</v>
      </c>
      <c r="C10" s="63"/>
      <c r="D10" s="65" t="s">
        <v>43</v>
      </c>
      <c r="E10" s="65" t="s">
        <v>44</v>
      </c>
      <c r="F10" s="65" t="s">
        <v>45</v>
      </c>
      <c r="G10" s="65" t="s">
        <v>46</v>
      </c>
      <c r="H10" s="65" t="s">
        <v>47</v>
      </c>
      <c r="I10" s="65" t="s">
        <v>48</v>
      </c>
      <c r="J10" s="65" t="s">
        <v>49</v>
      </c>
      <c r="K10" s="65" t="s">
        <v>50</v>
      </c>
      <c r="L10" s="65" t="s">
        <v>51</v>
      </c>
      <c r="M10" s="65" t="s">
        <v>52</v>
      </c>
      <c r="N10" s="65" t="s">
        <v>53</v>
      </c>
      <c r="O10" s="65" t="s">
        <v>54</v>
      </c>
      <c r="P10" s="112" t="s">
        <v>317</v>
      </c>
      <c r="Q10" s="65" t="s">
        <v>55</v>
      </c>
      <c r="R10" s="65" t="s">
        <v>56</v>
      </c>
      <c r="S10" s="112" t="s">
        <v>57</v>
      </c>
    </row>
    <row r="11" spans="1:19" ht="34.9" customHeight="1">
      <c r="A11" s="202" t="str">
        <f>'Síntese '!B16</f>
        <v>Cirurgia Eletiva Hospitalar de Alto Giro</v>
      </c>
      <c r="B11" s="69" cm="1">
        <f t="array" ref="B11:C11">'Síntese '!C16:D16</f>
        <v>6</v>
      </c>
      <c r="C11" s="69">
        <v>0</v>
      </c>
      <c r="D11" s="293">
        <f>D24</f>
        <v>6</v>
      </c>
      <c r="E11" s="293">
        <f t="shared" ref="E11:O11" si="2">E24</f>
        <v>10</v>
      </c>
      <c r="F11" s="293">
        <f t="shared" si="2"/>
        <v>20</v>
      </c>
      <c r="G11" s="67">
        <f t="shared" si="2"/>
        <v>0</v>
      </c>
      <c r="H11" s="67">
        <f t="shared" si="2"/>
        <v>0</v>
      </c>
      <c r="I11" s="67">
        <f t="shared" si="2"/>
        <v>0</v>
      </c>
      <c r="J11" s="67">
        <f t="shared" si="2"/>
        <v>0</v>
      </c>
      <c r="K11" s="67">
        <f t="shared" si="2"/>
        <v>0</v>
      </c>
      <c r="L11" s="67">
        <f t="shared" si="2"/>
        <v>0</v>
      </c>
      <c r="M11" s="67">
        <f t="shared" si="2"/>
        <v>0</v>
      </c>
      <c r="N11" s="67">
        <f t="shared" si="2"/>
        <v>0</v>
      </c>
      <c r="O11" s="67">
        <f t="shared" si="2"/>
        <v>0</v>
      </c>
      <c r="P11" s="111">
        <f>F11/B11</f>
        <v>3.3333333333333335</v>
      </c>
      <c r="Q11" s="380">
        <f>B11*12</f>
        <v>72</v>
      </c>
      <c r="R11" s="380">
        <f>SUM(D11:O11)</f>
        <v>36</v>
      </c>
      <c r="S11" s="378">
        <f>R11/Q11</f>
        <v>0.5</v>
      </c>
    </row>
    <row r="12" spans="1:19" ht="34.9" customHeight="1">
      <c r="A12" s="201" t="str">
        <f>'Síntese '!B17</f>
        <v>Cirurgia Eletiva de Alto Custo</v>
      </c>
      <c r="B12" s="63" cm="1">
        <f t="array" ref="B12:C12">'Síntese '!C17:D17</f>
        <v>6</v>
      </c>
      <c r="C12" s="63">
        <v>0</v>
      </c>
      <c r="D12" s="293">
        <f>D34</f>
        <v>6</v>
      </c>
      <c r="E12" s="293">
        <f t="shared" ref="E12:O12" si="3">E34</f>
        <v>6</v>
      </c>
      <c r="F12" s="293">
        <f t="shared" si="3"/>
        <v>6</v>
      </c>
      <c r="G12" s="67">
        <f t="shared" si="3"/>
        <v>0</v>
      </c>
      <c r="H12" s="67">
        <f t="shared" si="3"/>
        <v>0</v>
      </c>
      <c r="I12" s="67">
        <f t="shared" si="3"/>
        <v>0</v>
      </c>
      <c r="J12" s="67">
        <f t="shared" si="3"/>
        <v>0</v>
      </c>
      <c r="K12" s="67">
        <f t="shared" si="3"/>
        <v>0</v>
      </c>
      <c r="L12" s="67">
        <f t="shared" si="3"/>
        <v>0</v>
      </c>
      <c r="M12" s="67">
        <f t="shared" si="3"/>
        <v>0</v>
      </c>
      <c r="N12" s="67">
        <f t="shared" si="3"/>
        <v>0</v>
      </c>
      <c r="O12" s="67">
        <f t="shared" si="3"/>
        <v>0</v>
      </c>
      <c r="P12" s="111">
        <f>F12/B12</f>
        <v>1</v>
      </c>
      <c r="Q12" s="380">
        <f t="shared" ref="Q12:Q14" si="4">B12*12</f>
        <v>72</v>
      </c>
      <c r="R12" s="380">
        <f>SUM(D12:O12)</f>
        <v>18</v>
      </c>
      <c r="S12" s="378">
        <f t="shared" ref="S12:S14" si="5">R12/Q12</f>
        <v>0.25</v>
      </c>
    </row>
    <row r="13" spans="1:19" ht="34.9" customHeight="1">
      <c r="A13" s="201" t="str">
        <f>'Síntese '!B18</f>
        <v>Cirurgia Eletiva Hospitalar de Média ou Alta Complexidade</v>
      </c>
      <c r="B13" s="63" cm="1">
        <f t="array" ref="B13:C13">'Síntese '!C18:D18</f>
        <v>49</v>
      </c>
      <c r="C13" s="63">
        <v>0</v>
      </c>
      <c r="D13" s="293">
        <f>D44</f>
        <v>52</v>
      </c>
      <c r="E13" s="293">
        <f t="shared" ref="E13:O13" si="6">E44</f>
        <v>51</v>
      </c>
      <c r="F13" s="293">
        <f t="shared" si="6"/>
        <v>51</v>
      </c>
      <c r="G13" s="67">
        <f t="shared" si="6"/>
        <v>0</v>
      </c>
      <c r="H13" s="67">
        <f t="shared" si="6"/>
        <v>0</v>
      </c>
      <c r="I13" s="67">
        <f t="shared" si="6"/>
        <v>0</v>
      </c>
      <c r="J13" s="67">
        <f t="shared" si="6"/>
        <v>0</v>
      </c>
      <c r="K13" s="67">
        <f t="shared" si="6"/>
        <v>0</v>
      </c>
      <c r="L13" s="67">
        <f t="shared" si="6"/>
        <v>0</v>
      </c>
      <c r="M13" s="67">
        <f t="shared" si="6"/>
        <v>0</v>
      </c>
      <c r="N13" s="67">
        <f t="shared" si="6"/>
        <v>0</v>
      </c>
      <c r="O13" s="67">
        <f t="shared" si="6"/>
        <v>0</v>
      </c>
      <c r="P13" s="111">
        <f>F13/B13</f>
        <v>1.0408163265306123</v>
      </c>
      <c r="Q13" s="380">
        <f t="shared" si="4"/>
        <v>588</v>
      </c>
      <c r="R13" s="380">
        <f>SUM(D13:O13)</f>
        <v>154</v>
      </c>
      <c r="S13" s="378">
        <f t="shared" si="5"/>
        <v>0.26190476190476192</v>
      </c>
    </row>
    <row r="14" spans="1:19" ht="30.75" customHeight="1">
      <c r="A14" s="63" t="s">
        <v>59</v>
      </c>
      <c r="B14" s="66">
        <f>SUM(B11:B13)</f>
        <v>61</v>
      </c>
      <c r="C14" s="66"/>
      <c r="D14" s="66">
        <f>SUM(D11:D13)</f>
        <v>64</v>
      </c>
      <c r="E14" s="66">
        <f t="shared" ref="E14:I14" si="7">SUM(E11:E13)</f>
        <v>67</v>
      </c>
      <c r="F14" s="66">
        <f t="shared" si="7"/>
        <v>77</v>
      </c>
      <c r="G14" s="66">
        <f t="shared" si="7"/>
        <v>0</v>
      </c>
      <c r="H14" s="66">
        <f t="shared" si="7"/>
        <v>0</v>
      </c>
      <c r="I14" s="66">
        <f t="shared" si="7"/>
        <v>0</v>
      </c>
      <c r="J14" s="66">
        <f t="shared" ref="J14:O14" si="8">SUM(J11:J13)</f>
        <v>0</v>
      </c>
      <c r="K14" s="66">
        <f t="shared" si="8"/>
        <v>0</v>
      </c>
      <c r="L14" s="66">
        <f t="shared" si="8"/>
        <v>0</v>
      </c>
      <c r="M14" s="66">
        <f t="shared" si="8"/>
        <v>0</v>
      </c>
      <c r="N14" s="66">
        <f t="shared" si="8"/>
        <v>0</v>
      </c>
      <c r="O14" s="66">
        <f t="shared" si="8"/>
        <v>0</v>
      </c>
      <c r="P14" s="402">
        <f>F14/B14</f>
        <v>1.2622950819672132</v>
      </c>
      <c r="Q14" s="381">
        <f t="shared" si="4"/>
        <v>732</v>
      </c>
      <c r="R14" s="381">
        <f>SUM(D14:O14)</f>
        <v>208</v>
      </c>
      <c r="S14" s="379">
        <f t="shared" si="5"/>
        <v>0.28415300546448086</v>
      </c>
    </row>
    <row r="15" spans="1:19" ht="14.45" customHeight="1">
      <c r="A15" s="509"/>
      <c r="B15" s="493"/>
    </row>
    <row r="16" spans="1:19" s="190" customFormat="1" ht="28.9" customHeight="1">
      <c r="A16" s="69" t="s">
        <v>268</v>
      </c>
      <c r="B16" s="63" t="s">
        <v>269</v>
      </c>
      <c r="C16" s="65"/>
      <c r="D16" s="65" t="s">
        <v>43</v>
      </c>
      <c r="E16" s="65" t="s">
        <v>44</v>
      </c>
      <c r="F16" s="65" t="s">
        <v>45</v>
      </c>
      <c r="G16" s="65" t="s">
        <v>46</v>
      </c>
      <c r="H16" s="65" t="s">
        <v>47</v>
      </c>
      <c r="I16" s="65" t="s">
        <v>48</v>
      </c>
      <c r="J16" s="65" t="s">
        <v>49</v>
      </c>
      <c r="K16" s="65" t="s">
        <v>50</v>
      </c>
      <c r="L16" s="65" t="s">
        <v>51</v>
      </c>
      <c r="M16" s="65" t="s">
        <v>52</v>
      </c>
      <c r="N16" s="434" t="s">
        <v>53</v>
      </c>
      <c r="O16" s="65" t="s">
        <v>54</v>
      </c>
      <c r="P16" s="65" t="s">
        <v>55</v>
      </c>
      <c r="Q16" s="65" t="s">
        <v>56</v>
      </c>
      <c r="R16" s="382" t="s">
        <v>306</v>
      </c>
    </row>
    <row r="17" spans="1:18" s="190" customFormat="1" ht="24" customHeight="1">
      <c r="A17" s="209" t="s">
        <v>153</v>
      </c>
      <c r="B17" s="510">
        <v>6</v>
      </c>
      <c r="C17" s="197"/>
      <c r="D17" s="293">
        <v>0</v>
      </c>
      <c r="E17" s="293">
        <v>0</v>
      </c>
      <c r="F17" s="293">
        <v>0</v>
      </c>
      <c r="G17" s="67"/>
      <c r="H17" s="67"/>
      <c r="I17" s="67"/>
      <c r="J17" s="67"/>
      <c r="K17" s="67"/>
      <c r="L17" s="67"/>
      <c r="M17" s="67"/>
      <c r="N17" s="293"/>
      <c r="O17" s="255"/>
      <c r="P17" s="511">
        <f>B17*12</f>
        <v>72</v>
      </c>
      <c r="Q17" s="380">
        <f t="shared" ref="Q17:Q24" si="9">SUM(D17:O17)</f>
        <v>0</v>
      </c>
      <c r="R17" s="383">
        <f>Q17/P17</f>
        <v>0</v>
      </c>
    </row>
    <row r="18" spans="1:18" s="190" customFormat="1" ht="24" customHeight="1">
      <c r="A18" s="209" t="s">
        <v>154</v>
      </c>
      <c r="B18" s="510"/>
      <c r="C18" s="197"/>
      <c r="D18" s="293">
        <v>0</v>
      </c>
      <c r="E18" s="293">
        <v>0</v>
      </c>
      <c r="F18" s="293">
        <v>0</v>
      </c>
      <c r="G18" s="67"/>
      <c r="H18" s="67"/>
      <c r="I18" s="67"/>
      <c r="J18" s="67"/>
      <c r="K18" s="67"/>
      <c r="L18" s="67"/>
      <c r="M18" s="67"/>
      <c r="N18" s="293"/>
      <c r="O18" s="255"/>
      <c r="P18" s="512"/>
      <c r="Q18" s="380">
        <f t="shared" si="9"/>
        <v>0</v>
      </c>
      <c r="R18" s="383">
        <f>Q18/P17</f>
        <v>0</v>
      </c>
    </row>
    <row r="19" spans="1:18" s="190" customFormat="1" ht="24" customHeight="1">
      <c r="A19" s="209" t="s">
        <v>155</v>
      </c>
      <c r="B19" s="510"/>
      <c r="C19" s="198"/>
      <c r="D19" s="293">
        <v>2</v>
      </c>
      <c r="E19" s="293">
        <v>1</v>
      </c>
      <c r="F19" s="293">
        <v>2</v>
      </c>
      <c r="G19" s="67"/>
      <c r="H19" s="67"/>
      <c r="I19" s="67"/>
      <c r="J19" s="67"/>
      <c r="K19" s="67"/>
      <c r="L19" s="67"/>
      <c r="M19" s="67"/>
      <c r="N19" s="255"/>
      <c r="O19" s="255"/>
      <c r="P19" s="512"/>
      <c r="Q19" s="380">
        <f t="shared" si="9"/>
        <v>5</v>
      </c>
      <c r="R19" s="383">
        <f>Q19/P17</f>
        <v>6.9444444444444448E-2</v>
      </c>
    </row>
    <row r="20" spans="1:18" s="190" customFormat="1" ht="24" customHeight="1">
      <c r="A20" s="209" t="s">
        <v>158</v>
      </c>
      <c r="B20" s="510"/>
      <c r="C20" s="198"/>
      <c r="D20" s="293">
        <v>0</v>
      </c>
      <c r="E20" s="293">
        <v>2</v>
      </c>
      <c r="F20" s="293">
        <v>10</v>
      </c>
      <c r="G20" s="67"/>
      <c r="H20" s="67"/>
      <c r="I20" s="67"/>
      <c r="J20" s="67"/>
      <c r="K20" s="67"/>
      <c r="L20" s="67"/>
      <c r="M20" s="67"/>
      <c r="N20" s="255"/>
      <c r="O20" s="255"/>
      <c r="P20" s="512"/>
      <c r="Q20" s="380">
        <f t="shared" si="9"/>
        <v>12</v>
      </c>
      <c r="R20" s="383">
        <f>Q20/P17</f>
        <v>0.16666666666666666</v>
      </c>
    </row>
    <row r="21" spans="1:18" s="190" customFormat="1" ht="24" customHeight="1">
      <c r="A21" s="209" t="s">
        <v>159</v>
      </c>
      <c r="B21" s="510"/>
      <c r="C21" s="198"/>
      <c r="D21" s="293">
        <v>4</v>
      </c>
      <c r="E21" s="293">
        <v>3</v>
      </c>
      <c r="F21" s="293">
        <v>4</v>
      </c>
      <c r="G21" s="67"/>
      <c r="H21" s="67"/>
      <c r="I21" s="67"/>
      <c r="J21" s="67"/>
      <c r="K21" s="67"/>
      <c r="L21" s="67"/>
      <c r="M21" s="67"/>
      <c r="N21" s="255"/>
      <c r="O21" s="255"/>
      <c r="P21" s="512"/>
      <c r="Q21" s="380">
        <f t="shared" si="9"/>
        <v>11</v>
      </c>
      <c r="R21" s="383">
        <f>Q21/P17</f>
        <v>0.15277777777777779</v>
      </c>
    </row>
    <row r="22" spans="1:18" s="190" customFormat="1" ht="24" customHeight="1">
      <c r="A22" s="209" t="s">
        <v>246</v>
      </c>
      <c r="B22" s="510"/>
      <c r="C22" s="198"/>
      <c r="D22" s="293">
        <v>0</v>
      </c>
      <c r="E22" s="293">
        <v>0</v>
      </c>
      <c r="F22" s="293">
        <v>0</v>
      </c>
      <c r="G22" s="67"/>
      <c r="H22" s="67"/>
      <c r="I22" s="67"/>
      <c r="J22" s="67"/>
      <c r="K22" s="67"/>
      <c r="L22" s="67"/>
      <c r="M22" s="67"/>
      <c r="N22" s="255"/>
      <c r="O22" s="255"/>
      <c r="P22" s="512"/>
      <c r="Q22" s="380">
        <f t="shared" si="9"/>
        <v>0</v>
      </c>
      <c r="R22" s="383">
        <f>Q22/P17</f>
        <v>0</v>
      </c>
    </row>
    <row r="23" spans="1:18" s="190" customFormat="1" ht="24" customHeight="1">
      <c r="A23" s="209" t="s">
        <v>270</v>
      </c>
      <c r="B23" s="510"/>
      <c r="C23" s="198"/>
      <c r="D23" s="293">
        <v>0</v>
      </c>
      <c r="E23" s="293">
        <v>4</v>
      </c>
      <c r="F23" s="293">
        <v>4</v>
      </c>
      <c r="G23" s="67"/>
      <c r="H23" s="67"/>
      <c r="I23" s="67"/>
      <c r="J23" s="67"/>
      <c r="K23" s="67"/>
      <c r="L23" s="67"/>
      <c r="M23" s="67"/>
      <c r="N23" s="255"/>
      <c r="O23" s="255"/>
      <c r="P23" s="512"/>
      <c r="Q23" s="380">
        <f t="shared" si="9"/>
        <v>8</v>
      </c>
      <c r="R23" s="383">
        <f>Q23/P17</f>
        <v>0.1111111111111111</v>
      </c>
    </row>
    <row r="24" spans="1:18" s="190" customFormat="1" ht="24" customHeight="1">
      <c r="A24" s="200" t="s">
        <v>59</v>
      </c>
      <c r="B24" s="200">
        <v>6</v>
      </c>
      <c r="C24" s="199"/>
      <c r="D24" s="200">
        <f>SUM(D17:D23)</f>
        <v>6</v>
      </c>
      <c r="E24" s="200">
        <f t="shared" ref="E24:O24" si="10">SUM(E17:E23)</f>
        <v>10</v>
      </c>
      <c r="F24" s="200">
        <f t="shared" si="10"/>
        <v>20</v>
      </c>
      <c r="G24" s="200">
        <f t="shared" si="10"/>
        <v>0</v>
      </c>
      <c r="H24" s="200">
        <f t="shared" si="10"/>
        <v>0</v>
      </c>
      <c r="I24" s="200">
        <f t="shared" si="10"/>
        <v>0</v>
      </c>
      <c r="J24" s="200">
        <f t="shared" si="10"/>
        <v>0</v>
      </c>
      <c r="K24" s="200">
        <f t="shared" si="10"/>
        <v>0</v>
      </c>
      <c r="L24" s="200">
        <f t="shared" si="10"/>
        <v>0</v>
      </c>
      <c r="M24" s="200">
        <f t="shared" si="10"/>
        <v>0</v>
      </c>
      <c r="N24" s="200">
        <f t="shared" si="10"/>
        <v>0</v>
      </c>
      <c r="O24" s="200">
        <f t="shared" si="10"/>
        <v>0</v>
      </c>
      <c r="P24" s="513"/>
      <c r="Q24" s="381">
        <f t="shared" si="9"/>
        <v>36</v>
      </c>
      <c r="R24" s="384">
        <f>Q24/P17</f>
        <v>0.5</v>
      </c>
    </row>
    <row r="25" spans="1:18" ht="14.45" customHeight="1"/>
    <row r="26" spans="1:18" s="190" customFormat="1" ht="31.15" customHeight="1">
      <c r="A26" s="69" t="s">
        <v>98</v>
      </c>
      <c r="B26" s="63" t="s">
        <v>269</v>
      </c>
      <c r="C26" s="65"/>
      <c r="D26" s="65" t="s">
        <v>43</v>
      </c>
      <c r="E26" s="65" t="s">
        <v>44</v>
      </c>
      <c r="F26" s="65" t="s">
        <v>45</v>
      </c>
      <c r="G26" s="65" t="s">
        <v>46</v>
      </c>
      <c r="H26" s="65" t="s">
        <v>47</v>
      </c>
      <c r="I26" s="65" t="s">
        <v>48</v>
      </c>
      <c r="J26" s="65" t="s">
        <v>49</v>
      </c>
      <c r="K26" s="65" t="s">
        <v>50</v>
      </c>
      <c r="L26" s="65" t="s">
        <v>51</v>
      </c>
      <c r="M26" s="65" t="s">
        <v>52</v>
      </c>
      <c r="N26" s="65" t="s">
        <v>53</v>
      </c>
      <c r="O26" s="65" t="s">
        <v>54</v>
      </c>
      <c r="P26" s="65" t="s">
        <v>55</v>
      </c>
      <c r="Q26" s="65" t="s">
        <v>56</v>
      </c>
      <c r="R26" s="382" t="s">
        <v>306</v>
      </c>
    </row>
    <row r="27" spans="1:18" s="190" customFormat="1" ht="24" customHeight="1">
      <c r="A27" s="209" t="s">
        <v>153</v>
      </c>
      <c r="B27" s="510">
        <v>6</v>
      </c>
      <c r="C27" s="197"/>
      <c r="D27" s="293">
        <v>0</v>
      </c>
      <c r="E27" s="293">
        <v>0</v>
      </c>
      <c r="F27" s="293">
        <v>0</v>
      </c>
      <c r="G27" s="67"/>
      <c r="H27" s="67"/>
      <c r="I27" s="67"/>
      <c r="J27" s="67"/>
      <c r="K27" s="67"/>
      <c r="L27" s="67"/>
      <c r="M27" s="67"/>
      <c r="N27" s="255"/>
      <c r="O27" s="255"/>
      <c r="P27" s="511">
        <f>B27*12</f>
        <v>72</v>
      </c>
      <c r="Q27" s="380">
        <f t="shared" ref="Q27:Q34" si="11">SUM(D27:O27)</f>
        <v>0</v>
      </c>
      <c r="R27" s="383">
        <f>Q27/P27</f>
        <v>0</v>
      </c>
    </row>
    <row r="28" spans="1:18" s="190" customFormat="1" ht="24" customHeight="1">
      <c r="A28" s="209" t="s">
        <v>154</v>
      </c>
      <c r="B28" s="510"/>
      <c r="C28" s="197"/>
      <c r="D28" s="293">
        <v>0</v>
      </c>
      <c r="E28" s="293">
        <v>0</v>
      </c>
      <c r="F28" s="293">
        <v>0</v>
      </c>
      <c r="G28" s="67"/>
      <c r="H28" s="67"/>
      <c r="I28" s="67"/>
      <c r="J28" s="67"/>
      <c r="K28" s="67"/>
      <c r="L28" s="67"/>
      <c r="M28" s="67"/>
      <c r="N28" s="255"/>
      <c r="O28" s="255"/>
      <c r="P28" s="512"/>
      <c r="Q28" s="380">
        <f t="shared" si="11"/>
        <v>0</v>
      </c>
      <c r="R28" s="383">
        <f>Q28/P27</f>
        <v>0</v>
      </c>
    </row>
    <row r="29" spans="1:18" s="190" customFormat="1" ht="24" customHeight="1">
      <c r="A29" s="209" t="s">
        <v>155</v>
      </c>
      <c r="B29" s="510"/>
      <c r="C29" s="198"/>
      <c r="D29" s="293">
        <v>6</v>
      </c>
      <c r="E29" s="293">
        <v>6</v>
      </c>
      <c r="F29" s="293">
        <v>6</v>
      </c>
      <c r="G29" s="67"/>
      <c r="H29" s="67"/>
      <c r="I29" s="67"/>
      <c r="J29" s="67"/>
      <c r="K29" s="67"/>
      <c r="L29" s="67"/>
      <c r="M29" s="67"/>
      <c r="N29" s="255"/>
      <c r="O29" s="255"/>
      <c r="P29" s="512"/>
      <c r="Q29" s="380">
        <f t="shared" si="11"/>
        <v>18</v>
      </c>
      <c r="R29" s="383">
        <f>Q29/P27</f>
        <v>0.25</v>
      </c>
    </row>
    <row r="30" spans="1:18" s="190" customFormat="1" ht="24" customHeight="1">
      <c r="A30" s="209" t="s">
        <v>158</v>
      </c>
      <c r="B30" s="510"/>
      <c r="C30" s="198"/>
      <c r="D30" s="293">
        <v>0</v>
      </c>
      <c r="E30" s="293">
        <v>0</v>
      </c>
      <c r="F30" s="293">
        <v>0</v>
      </c>
      <c r="G30" s="67"/>
      <c r="H30" s="67"/>
      <c r="I30" s="67"/>
      <c r="J30" s="67"/>
      <c r="K30" s="67"/>
      <c r="L30" s="67"/>
      <c r="M30" s="67"/>
      <c r="N30" s="255"/>
      <c r="O30" s="255"/>
      <c r="P30" s="512"/>
      <c r="Q30" s="380">
        <f t="shared" si="11"/>
        <v>0</v>
      </c>
      <c r="R30" s="383">
        <f>Q30/P27</f>
        <v>0</v>
      </c>
    </row>
    <row r="31" spans="1:18" s="190" customFormat="1" ht="24" customHeight="1">
      <c r="A31" s="209" t="s">
        <v>159</v>
      </c>
      <c r="B31" s="510"/>
      <c r="C31" s="198"/>
      <c r="D31" s="293">
        <v>0</v>
      </c>
      <c r="E31" s="293">
        <v>0</v>
      </c>
      <c r="F31" s="293">
        <v>0</v>
      </c>
      <c r="G31" s="67"/>
      <c r="H31" s="67"/>
      <c r="I31" s="67"/>
      <c r="J31" s="67"/>
      <c r="K31" s="67"/>
      <c r="L31" s="67"/>
      <c r="M31" s="67"/>
      <c r="N31" s="255"/>
      <c r="O31" s="255"/>
      <c r="P31" s="512"/>
      <c r="Q31" s="380">
        <f t="shared" si="11"/>
        <v>0</v>
      </c>
      <c r="R31" s="383">
        <f>Q31/P27</f>
        <v>0</v>
      </c>
    </row>
    <row r="32" spans="1:18" s="190" customFormat="1" ht="24" customHeight="1">
      <c r="A32" s="209" t="s">
        <v>246</v>
      </c>
      <c r="B32" s="510"/>
      <c r="C32" s="198"/>
      <c r="D32" s="293">
        <v>0</v>
      </c>
      <c r="E32" s="293">
        <v>0</v>
      </c>
      <c r="F32" s="293">
        <v>0</v>
      </c>
      <c r="G32" s="67"/>
      <c r="H32" s="67"/>
      <c r="I32" s="67"/>
      <c r="J32" s="67"/>
      <c r="K32" s="67"/>
      <c r="L32" s="67"/>
      <c r="M32" s="67"/>
      <c r="N32" s="255"/>
      <c r="O32" s="255"/>
      <c r="P32" s="512"/>
      <c r="Q32" s="380">
        <f t="shared" si="11"/>
        <v>0</v>
      </c>
      <c r="R32" s="383">
        <f>Q32/P27</f>
        <v>0</v>
      </c>
    </row>
    <row r="33" spans="1:18" s="190" customFormat="1" ht="24" customHeight="1">
      <c r="A33" s="209" t="s">
        <v>270</v>
      </c>
      <c r="B33" s="510"/>
      <c r="C33" s="198"/>
      <c r="D33" s="293">
        <v>0</v>
      </c>
      <c r="E33" s="293">
        <v>0</v>
      </c>
      <c r="F33" s="293">
        <v>0</v>
      </c>
      <c r="G33" s="67"/>
      <c r="H33" s="67"/>
      <c r="I33" s="67"/>
      <c r="J33" s="67"/>
      <c r="K33" s="67"/>
      <c r="L33" s="67"/>
      <c r="M33" s="67"/>
      <c r="N33" s="255"/>
      <c r="O33" s="255"/>
      <c r="P33" s="512"/>
      <c r="Q33" s="380">
        <f t="shared" si="11"/>
        <v>0</v>
      </c>
      <c r="R33" s="383">
        <f>Q33/P27</f>
        <v>0</v>
      </c>
    </row>
    <row r="34" spans="1:18" s="190" customFormat="1" ht="24" customHeight="1">
      <c r="A34" s="200" t="s">
        <v>59</v>
      </c>
      <c r="B34" s="200">
        <v>6</v>
      </c>
      <c r="C34" s="200"/>
      <c r="D34" s="200">
        <f t="shared" ref="D34:O34" si="12">SUM(D27:D33)</f>
        <v>6</v>
      </c>
      <c r="E34" s="200">
        <f t="shared" si="12"/>
        <v>6</v>
      </c>
      <c r="F34" s="200">
        <f>SUM(F27:F33)</f>
        <v>6</v>
      </c>
      <c r="G34" s="200">
        <f t="shared" si="12"/>
        <v>0</v>
      </c>
      <c r="H34" s="200">
        <f t="shared" si="12"/>
        <v>0</v>
      </c>
      <c r="I34" s="200">
        <f t="shared" si="12"/>
        <v>0</v>
      </c>
      <c r="J34" s="200">
        <f t="shared" si="12"/>
        <v>0</v>
      </c>
      <c r="K34" s="200">
        <f t="shared" si="12"/>
        <v>0</v>
      </c>
      <c r="L34" s="200">
        <f t="shared" si="12"/>
        <v>0</v>
      </c>
      <c r="M34" s="200">
        <f t="shared" si="12"/>
        <v>0</v>
      </c>
      <c r="N34" s="200">
        <f t="shared" si="12"/>
        <v>0</v>
      </c>
      <c r="O34" s="200">
        <f t="shared" si="12"/>
        <v>0</v>
      </c>
      <c r="P34" s="513"/>
      <c r="Q34" s="381">
        <f t="shared" si="11"/>
        <v>18</v>
      </c>
      <c r="R34" s="384">
        <f>Q34/P27</f>
        <v>0.25</v>
      </c>
    </row>
    <row r="36" spans="1:18" s="190" customFormat="1" ht="30">
      <c r="A36" s="69" t="s">
        <v>99</v>
      </c>
      <c r="B36" s="63" t="s">
        <v>269</v>
      </c>
      <c r="C36" s="196"/>
      <c r="D36" s="65" t="s">
        <v>43</v>
      </c>
      <c r="E36" s="65" t="s">
        <v>44</v>
      </c>
      <c r="F36" s="65" t="s">
        <v>45</v>
      </c>
      <c r="G36" s="65" t="s">
        <v>46</v>
      </c>
      <c r="H36" s="65" t="s">
        <v>47</v>
      </c>
      <c r="I36" s="65" t="s">
        <v>48</v>
      </c>
      <c r="J36" s="65" t="s">
        <v>49</v>
      </c>
      <c r="K36" s="65" t="s">
        <v>50</v>
      </c>
      <c r="L36" s="65" t="s">
        <v>51</v>
      </c>
      <c r="M36" s="65" t="s">
        <v>52</v>
      </c>
      <c r="N36" s="65" t="s">
        <v>53</v>
      </c>
      <c r="O36" s="65" t="s">
        <v>54</v>
      </c>
      <c r="P36" s="63" t="s">
        <v>55</v>
      </c>
      <c r="Q36" s="63" t="s">
        <v>56</v>
      </c>
      <c r="R36" s="112" t="s">
        <v>306</v>
      </c>
    </row>
    <row r="37" spans="1:18" s="190" customFormat="1" ht="24" customHeight="1">
      <c r="A37" s="209" t="s">
        <v>153</v>
      </c>
      <c r="B37" s="495">
        <v>49</v>
      </c>
      <c r="C37" s="197"/>
      <c r="D37" s="293">
        <v>27</v>
      </c>
      <c r="E37" s="293">
        <v>33</v>
      </c>
      <c r="F37" s="293">
        <v>31</v>
      </c>
      <c r="G37" s="67"/>
      <c r="H37" s="67"/>
      <c r="I37" s="67"/>
      <c r="J37" s="67"/>
      <c r="K37" s="67"/>
      <c r="L37" s="67"/>
      <c r="M37" s="67"/>
      <c r="N37" s="255"/>
      <c r="O37" s="255"/>
      <c r="P37" s="514">
        <f>B37*12</f>
        <v>588</v>
      </c>
      <c r="Q37" s="256">
        <f t="shared" ref="Q37:Q44" si="13">SUM(D37:O37)</f>
        <v>91</v>
      </c>
      <c r="R37" s="385">
        <f>Q37/P37</f>
        <v>0.15476190476190477</v>
      </c>
    </row>
    <row r="38" spans="1:18" s="190" customFormat="1" ht="24" customHeight="1">
      <c r="A38" s="209" t="s">
        <v>154</v>
      </c>
      <c r="B38" s="496"/>
      <c r="C38" s="197"/>
      <c r="D38" s="293">
        <v>0</v>
      </c>
      <c r="E38" s="293">
        <v>0</v>
      </c>
      <c r="F38" s="293">
        <v>0</v>
      </c>
      <c r="G38" s="67"/>
      <c r="H38" s="67"/>
      <c r="I38" s="67"/>
      <c r="J38" s="67"/>
      <c r="K38" s="67"/>
      <c r="L38" s="67"/>
      <c r="M38" s="67"/>
      <c r="N38" s="255"/>
      <c r="O38" s="255"/>
      <c r="P38" s="515"/>
      <c r="Q38" s="256">
        <f t="shared" si="13"/>
        <v>0</v>
      </c>
      <c r="R38" s="385">
        <f>Q38/P37</f>
        <v>0</v>
      </c>
    </row>
    <row r="39" spans="1:18" s="190" customFormat="1" ht="24" customHeight="1">
      <c r="A39" s="209" t="s">
        <v>155</v>
      </c>
      <c r="B39" s="496"/>
      <c r="C39" s="198"/>
      <c r="D39" s="293">
        <v>20</v>
      </c>
      <c r="E39" s="293">
        <v>15</v>
      </c>
      <c r="F39" s="293">
        <v>20</v>
      </c>
      <c r="G39" s="67"/>
      <c r="H39" s="67"/>
      <c r="I39" s="67"/>
      <c r="J39" s="67"/>
      <c r="K39" s="67"/>
      <c r="L39" s="67"/>
      <c r="M39" s="67"/>
      <c r="N39" s="255"/>
      <c r="O39" s="255"/>
      <c r="P39" s="515"/>
      <c r="Q39" s="256">
        <f t="shared" si="13"/>
        <v>55</v>
      </c>
      <c r="R39" s="385">
        <f>Q39/P37</f>
        <v>9.3537414965986401E-2</v>
      </c>
    </row>
    <row r="40" spans="1:18" s="190" customFormat="1" ht="24" customHeight="1">
      <c r="A40" s="209" t="s">
        <v>158</v>
      </c>
      <c r="B40" s="496"/>
      <c r="C40" s="197"/>
      <c r="D40" s="293">
        <v>3</v>
      </c>
      <c r="E40" s="293">
        <v>3</v>
      </c>
      <c r="F40" s="293">
        <v>0</v>
      </c>
      <c r="G40" s="67"/>
      <c r="H40" s="67"/>
      <c r="I40" s="67"/>
      <c r="J40" s="67"/>
      <c r="K40" s="67"/>
      <c r="L40" s="67"/>
      <c r="M40" s="67"/>
      <c r="N40" s="255"/>
      <c r="O40" s="255"/>
      <c r="P40" s="515"/>
      <c r="Q40" s="256">
        <f t="shared" si="13"/>
        <v>6</v>
      </c>
      <c r="R40" s="385">
        <f>Q40/P37</f>
        <v>1.020408163265306E-2</v>
      </c>
    </row>
    <row r="41" spans="1:18" s="190" customFormat="1" ht="24" customHeight="1">
      <c r="A41" s="209" t="s">
        <v>159</v>
      </c>
      <c r="B41" s="496"/>
      <c r="C41" s="198"/>
      <c r="D41" s="293">
        <v>0</v>
      </c>
      <c r="E41" s="293">
        <v>0</v>
      </c>
      <c r="F41" s="293">
        <v>0</v>
      </c>
      <c r="G41" s="67"/>
      <c r="H41" s="67"/>
      <c r="I41" s="67"/>
      <c r="J41" s="67"/>
      <c r="K41" s="67"/>
      <c r="L41" s="67"/>
      <c r="M41" s="67"/>
      <c r="N41" s="255"/>
      <c r="O41" s="255"/>
      <c r="P41" s="515"/>
      <c r="Q41" s="256">
        <f t="shared" si="13"/>
        <v>0</v>
      </c>
      <c r="R41" s="385">
        <f>Q41/P37</f>
        <v>0</v>
      </c>
    </row>
    <row r="42" spans="1:18" s="190" customFormat="1" ht="24" customHeight="1">
      <c r="A42" s="209" t="s">
        <v>246</v>
      </c>
      <c r="B42" s="496"/>
      <c r="C42" s="198"/>
      <c r="D42" s="293">
        <v>0</v>
      </c>
      <c r="E42" s="293">
        <v>0</v>
      </c>
      <c r="F42" s="293">
        <v>0</v>
      </c>
      <c r="G42" s="67"/>
      <c r="H42" s="67"/>
      <c r="I42" s="67"/>
      <c r="J42" s="67"/>
      <c r="K42" s="67"/>
      <c r="L42" s="67"/>
      <c r="M42" s="67"/>
      <c r="N42" s="255"/>
      <c r="O42" s="255"/>
      <c r="P42" s="515"/>
      <c r="Q42" s="256">
        <f t="shared" si="13"/>
        <v>0</v>
      </c>
      <c r="R42" s="385">
        <f>Q42/P37</f>
        <v>0</v>
      </c>
    </row>
    <row r="43" spans="1:18" s="190" customFormat="1" ht="24" customHeight="1">
      <c r="A43" s="209" t="s">
        <v>270</v>
      </c>
      <c r="B43" s="496"/>
      <c r="C43" s="198"/>
      <c r="D43" s="293">
        <v>2</v>
      </c>
      <c r="E43" s="293">
        <v>0</v>
      </c>
      <c r="F43" s="293">
        <v>0</v>
      </c>
      <c r="G43" s="67"/>
      <c r="H43" s="67"/>
      <c r="I43" s="67"/>
      <c r="J43" s="67"/>
      <c r="K43" s="67"/>
      <c r="L43" s="67"/>
      <c r="M43" s="67"/>
      <c r="N43" s="255"/>
      <c r="O43" s="255"/>
      <c r="P43" s="515"/>
      <c r="Q43" s="256">
        <f t="shared" si="13"/>
        <v>2</v>
      </c>
      <c r="R43" s="385">
        <f>Q43/P37</f>
        <v>3.4013605442176869E-3</v>
      </c>
    </row>
    <row r="44" spans="1:18" s="190" customFormat="1" ht="24" customHeight="1">
      <c r="A44" s="200" t="s">
        <v>59</v>
      </c>
      <c r="B44" s="497"/>
      <c r="C44" s="199"/>
      <c r="D44" s="200">
        <f t="shared" ref="D44:O44" si="14">SUM(D37:D43)</f>
        <v>52</v>
      </c>
      <c r="E44" s="200">
        <f t="shared" si="14"/>
        <v>51</v>
      </c>
      <c r="F44" s="200">
        <f t="shared" si="14"/>
        <v>51</v>
      </c>
      <c r="G44" s="200">
        <f t="shared" si="14"/>
        <v>0</v>
      </c>
      <c r="H44" s="200">
        <f t="shared" si="14"/>
        <v>0</v>
      </c>
      <c r="I44" s="200">
        <f t="shared" si="14"/>
        <v>0</v>
      </c>
      <c r="J44" s="200">
        <f t="shared" si="14"/>
        <v>0</v>
      </c>
      <c r="K44" s="200">
        <f t="shared" si="14"/>
        <v>0</v>
      </c>
      <c r="L44" s="200">
        <f t="shared" si="14"/>
        <v>0</v>
      </c>
      <c r="M44" s="200">
        <f t="shared" si="14"/>
        <v>0</v>
      </c>
      <c r="N44" s="200">
        <f t="shared" si="14"/>
        <v>0</v>
      </c>
      <c r="O44" s="200">
        <f t="shared" si="14"/>
        <v>0</v>
      </c>
      <c r="P44" s="516"/>
      <c r="Q44" s="386">
        <f t="shared" si="13"/>
        <v>154</v>
      </c>
      <c r="R44" s="387">
        <f>Q44/P37</f>
        <v>0.26190476190476192</v>
      </c>
    </row>
    <row r="45" spans="1:18" ht="14.45" customHeight="1"/>
    <row r="46" spans="1:18" s="190" customFormat="1" ht="28.15" customHeight="1">
      <c r="A46" s="69" t="s">
        <v>302</v>
      </c>
      <c r="B46" s="63" t="s">
        <v>269</v>
      </c>
      <c r="C46" s="196"/>
      <c r="D46" s="65" t="s">
        <v>43</v>
      </c>
      <c r="E46" s="65" t="s">
        <v>44</v>
      </c>
      <c r="F46" s="65" t="s">
        <v>45</v>
      </c>
      <c r="G46" s="65" t="s">
        <v>46</v>
      </c>
      <c r="H46" s="65" t="s">
        <v>47</v>
      </c>
      <c r="I46" s="65" t="s">
        <v>48</v>
      </c>
      <c r="J46" s="65" t="s">
        <v>49</v>
      </c>
      <c r="K46" s="65" t="s">
        <v>50</v>
      </c>
      <c r="L46" s="65" t="s">
        <v>51</v>
      </c>
      <c r="M46" s="65" t="s">
        <v>52</v>
      </c>
      <c r="N46" s="65" t="s">
        <v>53</v>
      </c>
      <c r="O46" s="65" t="s">
        <v>54</v>
      </c>
      <c r="P46" s="388" t="s">
        <v>307</v>
      </c>
    </row>
    <row r="47" spans="1:18" s="190" customFormat="1" ht="24" customHeight="1">
      <c r="A47" s="209" t="s">
        <v>153</v>
      </c>
      <c r="B47" s="510" t="s">
        <v>185</v>
      </c>
      <c r="C47" s="197"/>
      <c r="D47" s="293">
        <v>3</v>
      </c>
      <c r="E47" s="293">
        <v>0</v>
      </c>
      <c r="F47" s="293">
        <v>1</v>
      </c>
      <c r="G47" s="67"/>
      <c r="H47" s="67"/>
      <c r="I47" s="67"/>
      <c r="J47" s="67"/>
      <c r="K47" s="67"/>
      <c r="L47" s="67"/>
      <c r="M47" s="67"/>
      <c r="N47" s="255"/>
      <c r="O47" s="255"/>
      <c r="P47" s="389">
        <f t="shared" ref="P47:P53" si="15">SUM(D47:O47)</f>
        <v>4</v>
      </c>
    </row>
    <row r="48" spans="1:18" s="190" customFormat="1" ht="24" customHeight="1">
      <c r="A48" s="209" t="s">
        <v>154</v>
      </c>
      <c r="B48" s="510"/>
      <c r="C48" s="197"/>
      <c r="D48" s="293">
        <v>0</v>
      </c>
      <c r="E48" s="293">
        <v>0</v>
      </c>
      <c r="F48" s="293">
        <v>0</v>
      </c>
      <c r="G48" s="67"/>
      <c r="H48" s="67"/>
      <c r="I48" s="67"/>
      <c r="J48" s="67"/>
      <c r="K48" s="67"/>
      <c r="L48" s="67"/>
      <c r="M48" s="67"/>
      <c r="N48" s="255"/>
      <c r="O48" s="255"/>
      <c r="P48" s="389">
        <f t="shared" si="15"/>
        <v>0</v>
      </c>
    </row>
    <row r="49" spans="1:16" s="190" customFormat="1" ht="24" customHeight="1">
      <c r="A49" s="209" t="s">
        <v>155</v>
      </c>
      <c r="B49" s="510"/>
      <c r="C49" s="198"/>
      <c r="D49" s="293">
        <v>0</v>
      </c>
      <c r="E49" s="293">
        <v>0</v>
      </c>
      <c r="F49" s="293">
        <v>0</v>
      </c>
      <c r="G49" s="67"/>
      <c r="H49" s="67"/>
      <c r="I49" s="67"/>
      <c r="J49" s="67"/>
      <c r="K49" s="67"/>
      <c r="L49" s="67"/>
      <c r="M49" s="67"/>
      <c r="N49" s="255"/>
      <c r="O49" s="255"/>
      <c r="P49" s="389">
        <f t="shared" si="15"/>
        <v>0</v>
      </c>
    </row>
    <row r="50" spans="1:16" s="190" customFormat="1" ht="24" customHeight="1">
      <c r="A50" s="209" t="s">
        <v>158</v>
      </c>
      <c r="B50" s="510"/>
      <c r="C50" s="197"/>
      <c r="D50" s="293">
        <v>0</v>
      </c>
      <c r="E50" s="293">
        <v>0</v>
      </c>
      <c r="F50" s="293">
        <v>0</v>
      </c>
      <c r="G50" s="67"/>
      <c r="H50" s="67"/>
      <c r="I50" s="67"/>
      <c r="J50" s="67"/>
      <c r="K50" s="67"/>
      <c r="L50" s="67"/>
      <c r="M50" s="67"/>
      <c r="N50" s="255"/>
      <c r="O50" s="255"/>
      <c r="P50" s="389">
        <f t="shared" si="15"/>
        <v>0</v>
      </c>
    </row>
    <row r="51" spans="1:16" s="190" customFormat="1" ht="24" customHeight="1">
      <c r="A51" s="209" t="s">
        <v>159</v>
      </c>
      <c r="B51" s="510"/>
      <c r="C51" s="198"/>
      <c r="D51" s="293">
        <v>0</v>
      </c>
      <c r="E51" s="293">
        <v>0</v>
      </c>
      <c r="F51" s="293">
        <v>0</v>
      </c>
      <c r="G51" s="67"/>
      <c r="H51" s="67"/>
      <c r="I51" s="67"/>
      <c r="J51" s="67"/>
      <c r="K51" s="67"/>
      <c r="L51" s="67"/>
      <c r="M51" s="67"/>
      <c r="N51" s="255"/>
      <c r="O51" s="255"/>
      <c r="P51" s="389">
        <f t="shared" si="15"/>
        <v>0</v>
      </c>
    </row>
    <row r="52" spans="1:16" s="190" customFormat="1" ht="24" customHeight="1">
      <c r="A52" s="209" t="s">
        <v>246</v>
      </c>
      <c r="B52" s="510"/>
      <c r="C52" s="198"/>
      <c r="D52" s="293">
        <v>3</v>
      </c>
      <c r="E52" s="293">
        <v>2</v>
      </c>
      <c r="F52" s="293">
        <v>0</v>
      </c>
      <c r="G52" s="67"/>
      <c r="H52" s="67"/>
      <c r="I52" s="67"/>
      <c r="J52" s="67"/>
      <c r="K52" s="67"/>
      <c r="L52" s="67"/>
      <c r="M52" s="67"/>
      <c r="N52" s="255"/>
      <c r="O52" s="255"/>
      <c r="P52" s="389">
        <f t="shared" si="15"/>
        <v>5</v>
      </c>
    </row>
    <row r="53" spans="1:16" s="190" customFormat="1" ht="24" customHeight="1">
      <c r="A53" s="209" t="s">
        <v>270</v>
      </c>
      <c r="B53" s="510"/>
      <c r="C53" s="198"/>
      <c r="D53" s="293">
        <v>0</v>
      </c>
      <c r="E53" s="293">
        <v>0</v>
      </c>
      <c r="F53" s="293">
        <v>0</v>
      </c>
      <c r="G53" s="67"/>
      <c r="H53" s="67"/>
      <c r="I53" s="67"/>
      <c r="J53" s="67"/>
      <c r="K53" s="67"/>
      <c r="L53" s="67"/>
      <c r="M53" s="67"/>
      <c r="N53" s="255"/>
      <c r="O53" s="255"/>
      <c r="P53" s="389">
        <f t="shared" si="15"/>
        <v>0</v>
      </c>
    </row>
    <row r="54" spans="1:16" s="190" customFormat="1" ht="24" customHeight="1">
      <c r="A54" s="200" t="s">
        <v>59</v>
      </c>
      <c r="B54" s="200" t="s">
        <v>185</v>
      </c>
      <c r="C54" s="199"/>
      <c r="D54" s="200">
        <f t="shared" ref="D54:O54" si="16">SUM(D47:D53)</f>
        <v>6</v>
      </c>
      <c r="E54" s="200">
        <f t="shared" si="16"/>
        <v>2</v>
      </c>
      <c r="F54" s="200">
        <f t="shared" si="16"/>
        <v>1</v>
      </c>
      <c r="G54" s="200">
        <f t="shared" si="16"/>
        <v>0</v>
      </c>
      <c r="H54" s="200">
        <f t="shared" si="16"/>
        <v>0</v>
      </c>
      <c r="I54" s="200">
        <f t="shared" si="16"/>
        <v>0</v>
      </c>
      <c r="J54" s="200">
        <f t="shared" si="16"/>
        <v>0</v>
      </c>
      <c r="K54" s="200">
        <f t="shared" si="16"/>
        <v>0</v>
      </c>
      <c r="L54" s="200">
        <f t="shared" si="16"/>
        <v>0</v>
      </c>
      <c r="M54" s="200">
        <f t="shared" si="16"/>
        <v>0</v>
      </c>
      <c r="N54" s="200">
        <f t="shared" si="16"/>
        <v>0</v>
      </c>
      <c r="O54" s="200">
        <f t="shared" si="16"/>
        <v>0</v>
      </c>
      <c r="P54" s="390">
        <f>SUM(P47:P53)</f>
        <v>9</v>
      </c>
    </row>
    <row r="55" spans="1:16" ht="14.45" customHeight="1"/>
    <row r="56" spans="1:16" s="190" customFormat="1" ht="35.450000000000003" customHeight="1">
      <c r="A56" s="69" t="s">
        <v>293</v>
      </c>
      <c r="B56" s="63" t="s">
        <v>269</v>
      </c>
      <c r="C56" s="196"/>
      <c r="D56" s="65" t="s">
        <v>43</v>
      </c>
      <c r="E56" s="65" t="s">
        <v>44</v>
      </c>
      <c r="F56" s="65" t="s">
        <v>45</v>
      </c>
      <c r="G56" s="65" t="s">
        <v>46</v>
      </c>
      <c r="H56" s="65" t="s">
        <v>47</v>
      </c>
      <c r="I56" s="65" t="s">
        <v>48</v>
      </c>
      <c r="J56" s="65" t="s">
        <v>49</v>
      </c>
      <c r="K56" s="65" t="s">
        <v>50</v>
      </c>
      <c r="L56" s="65" t="s">
        <v>51</v>
      </c>
      <c r="M56" s="65" t="s">
        <v>52</v>
      </c>
      <c r="N56" s="65" t="s">
        <v>53</v>
      </c>
      <c r="O56" s="65" t="s">
        <v>54</v>
      </c>
      <c r="P56" s="388" t="s">
        <v>307</v>
      </c>
    </row>
    <row r="57" spans="1:16" s="190" customFormat="1" ht="24" customHeight="1">
      <c r="A57" s="209" t="s">
        <v>153</v>
      </c>
      <c r="B57" s="510">
        <v>49</v>
      </c>
      <c r="C57" s="197"/>
      <c r="D57" s="293">
        <v>46</v>
      </c>
      <c r="E57" s="293">
        <v>44</v>
      </c>
      <c r="F57" s="293">
        <v>39</v>
      </c>
      <c r="G57" s="67"/>
      <c r="H57" s="67"/>
      <c r="I57" s="67"/>
      <c r="J57" s="67"/>
      <c r="K57" s="67"/>
      <c r="L57" s="67"/>
      <c r="M57" s="67"/>
      <c r="N57" s="255"/>
      <c r="O57" s="255"/>
      <c r="P57" s="389">
        <f t="shared" ref="P57:P64" si="17">SUM(D57:O57)</f>
        <v>129</v>
      </c>
    </row>
    <row r="58" spans="1:16" s="190" customFormat="1" ht="24" customHeight="1">
      <c r="A58" s="209" t="s">
        <v>154</v>
      </c>
      <c r="B58" s="510"/>
      <c r="C58" s="197"/>
      <c r="D58" s="293">
        <v>0</v>
      </c>
      <c r="E58" s="293">
        <v>0</v>
      </c>
      <c r="F58" s="293">
        <v>0</v>
      </c>
      <c r="G58" s="67"/>
      <c r="H58" s="67"/>
      <c r="I58" s="67"/>
      <c r="J58" s="67"/>
      <c r="K58" s="67"/>
      <c r="L58" s="67"/>
      <c r="M58" s="67"/>
      <c r="N58" s="255"/>
      <c r="O58" s="255"/>
      <c r="P58" s="389">
        <f t="shared" si="17"/>
        <v>0</v>
      </c>
    </row>
    <row r="59" spans="1:16" s="190" customFormat="1" ht="24" customHeight="1">
      <c r="A59" s="209" t="s">
        <v>155</v>
      </c>
      <c r="B59" s="510"/>
      <c r="C59" s="198"/>
      <c r="D59" s="293">
        <v>1</v>
      </c>
      <c r="E59" s="293">
        <v>6</v>
      </c>
      <c r="F59" s="293">
        <v>4</v>
      </c>
      <c r="G59" s="67"/>
      <c r="H59" s="67"/>
      <c r="I59" s="67"/>
      <c r="J59" s="67"/>
      <c r="K59" s="67"/>
      <c r="L59" s="67"/>
      <c r="M59" s="67"/>
      <c r="N59" s="255"/>
      <c r="O59" s="255"/>
      <c r="P59" s="389">
        <f t="shared" si="17"/>
        <v>11</v>
      </c>
    </row>
    <row r="60" spans="1:16" s="190" customFormat="1" ht="24" customHeight="1">
      <c r="A60" s="209" t="s">
        <v>158</v>
      </c>
      <c r="B60" s="510"/>
      <c r="C60" s="197"/>
      <c r="D60" s="293">
        <v>0</v>
      </c>
      <c r="E60" s="293">
        <v>0</v>
      </c>
      <c r="F60" s="293">
        <v>0</v>
      </c>
      <c r="G60" s="67"/>
      <c r="H60" s="67"/>
      <c r="I60" s="67"/>
      <c r="J60" s="67"/>
      <c r="K60" s="67"/>
      <c r="L60" s="67"/>
      <c r="M60" s="67"/>
      <c r="N60" s="255"/>
      <c r="O60" s="255"/>
      <c r="P60" s="389">
        <f t="shared" si="17"/>
        <v>0</v>
      </c>
    </row>
    <row r="61" spans="1:16" s="190" customFormat="1" ht="24" customHeight="1">
      <c r="A61" s="209" t="s">
        <v>159</v>
      </c>
      <c r="B61" s="510"/>
      <c r="C61" s="198"/>
      <c r="D61" s="293">
        <v>0</v>
      </c>
      <c r="E61" s="293">
        <v>0</v>
      </c>
      <c r="F61" s="293">
        <v>0</v>
      </c>
      <c r="G61" s="67"/>
      <c r="H61" s="67"/>
      <c r="I61" s="67"/>
      <c r="J61" s="67"/>
      <c r="K61" s="67"/>
      <c r="L61" s="67"/>
      <c r="M61" s="67"/>
      <c r="N61" s="255"/>
      <c r="O61" s="255"/>
      <c r="P61" s="389">
        <f t="shared" si="17"/>
        <v>0</v>
      </c>
    </row>
    <row r="62" spans="1:16" s="190" customFormat="1" ht="24" customHeight="1">
      <c r="A62" s="209" t="s">
        <v>246</v>
      </c>
      <c r="B62" s="510"/>
      <c r="C62" s="198"/>
      <c r="D62" s="293">
        <v>105</v>
      </c>
      <c r="E62" s="293">
        <v>97</v>
      </c>
      <c r="F62" s="293">
        <v>115</v>
      </c>
      <c r="G62" s="67"/>
      <c r="H62" s="67"/>
      <c r="I62" s="67"/>
      <c r="J62" s="67"/>
      <c r="K62" s="67"/>
      <c r="L62" s="67"/>
      <c r="M62" s="67"/>
      <c r="N62" s="255"/>
      <c r="O62" s="255"/>
      <c r="P62" s="389">
        <f t="shared" si="17"/>
        <v>317</v>
      </c>
    </row>
    <row r="63" spans="1:16" s="190" customFormat="1" ht="24" customHeight="1">
      <c r="A63" s="209" t="s">
        <v>270</v>
      </c>
      <c r="B63" s="510"/>
      <c r="C63" s="198"/>
      <c r="D63" s="293">
        <v>0</v>
      </c>
      <c r="E63" s="293">
        <v>0</v>
      </c>
      <c r="F63" s="293">
        <v>0</v>
      </c>
      <c r="G63" s="67"/>
      <c r="H63" s="67"/>
      <c r="I63" s="67"/>
      <c r="J63" s="67"/>
      <c r="K63" s="67"/>
      <c r="L63" s="67"/>
      <c r="M63" s="67"/>
      <c r="N63" s="255"/>
      <c r="O63" s="255"/>
      <c r="P63" s="389">
        <f t="shared" si="17"/>
        <v>0</v>
      </c>
    </row>
    <row r="64" spans="1:16" s="190" customFormat="1" ht="24" customHeight="1">
      <c r="A64" s="209" t="s">
        <v>290</v>
      </c>
      <c r="B64" s="510"/>
      <c r="C64" s="198"/>
      <c r="D64" s="293">
        <v>0</v>
      </c>
      <c r="E64" s="293">
        <v>0</v>
      </c>
      <c r="F64" s="293">
        <v>0</v>
      </c>
      <c r="G64" s="67"/>
      <c r="H64" s="67"/>
      <c r="I64" s="67"/>
      <c r="J64" s="67"/>
      <c r="K64" s="67"/>
      <c r="L64" s="67"/>
      <c r="M64" s="67"/>
      <c r="N64" s="255"/>
      <c r="O64" s="255"/>
      <c r="P64" s="389">
        <f t="shared" si="17"/>
        <v>0</v>
      </c>
    </row>
    <row r="65" spans="1:24" s="190" customFormat="1" ht="24" customHeight="1">
      <c r="A65" s="200" t="s">
        <v>59</v>
      </c>
      <c r="B65" s="200">
        <v>49</v>
      </c>
      <c r="C65" s="199"/>
      <c r="D65" s="200">
        <f t="shared" ref="D65:O65" si="18">SUM(D57:D64)</f>
        <v>152</v>
      </c>
      <c r="E65" s="200">
        <f t="shared" si="18"/>
        <v>147</v>
      </c>
      <c r="F65" s="200">
        <f t="shared" si="18"/>
        <v>158</v>
      </c>
      <c r="G65" s="200">
        <f t="shared" si="18"/>
        <v>0</v>
      </c>
      <c r="H65" s="200">
        <f t="shared" si="18"/>
        <v>0</v>
      </c>
      <c r="I65" s="200">
        <f t="shared" si="18"/>
        <v>0</v>
      </c>
      <c r="J65" s="200">
        <f t="shared" si="18"/>
        <v>0</v>
      </c>
      <c r="K65" s="200">
        <f t="shared" si="18"/>
        <v>0</v>
      </c>
      <c r="L65" s="200">
        <f t="shared" si="18"/>
        <v>0</v>
      </c>
      <c r="M65" s="200">
        <f t="shared" si="18"/>
        <v>0</v>
      </c>
      <c r="N65" s="200">
        <f t="shared" si="18"/>
        <v>0</v>
      </c>
      <c r="O65" s="338">
        <f t="shared" si="18"/>
        <v>0</v>
      </c>
      <c r="P65" s="390">
        <f>SUM(P57:P64)</f>
        <v>457</v>
      </c>
    </row>
    <row r="66" spans="1:24" s="190" customFormat="1" ht="24" customHeight="1">
      <c r="A66" s="339"/>
      <c r="B66" s="339"/>
      <c r="C66" s="339"/>
      <c r="D66" s="339"/>
      <c r="E66" s="339"/>
      <c r="F66" s="339"/>
      <c r="G66" s="339"/>
      <c r="H66" s="339"/>
      <c r="I66" s="339"/>
      <c r="J66" s="339"/>
      <c r="K66" s="339"/>
      <c r="L66" s="339"/>
      <c r="M66" s="339"/>
      <c r="N66" s="339"/>
      <c r="O66" s="339"/>
      <c r="P66" s="340"/>
    </row>
    <row r="67" spans="1:24" ht="46.15" customHeight="1">
      <c r="A67" s="63" t="s">
        <v>249</v>
      </c>
      <c r="B67" s="63" t="s">
        <v>248</v>
      </c>
      <c r="C67" s="64"/>
      <c r="D67" s="65" t="s">
        <v>43</v>
      </c>
      <c r="E67" s="65" t="s">
        <v>44</v>
      </c>
      <c r="F67" s="65" t="s">
        <v>45</v>
      </c>
      <c r="G67" s="65" t="s">
        <v>46</v>
      </c>
      <c r="H67" s="65" t="s">
        <v>47</v>
      </c>
      <c r="I67" s="65" t="s">
        <v>48</v>
      </c>
      <c r="J67" s="65" t="s">
        <v>49</v>
      </c>
      <c r="K67" s="65" t="s">
        <v>50</v>
      </c>
      <c r="L67" s="65" t="s">
        <v>51</v>
      </c>
      <c r="M67" s="65" t="s">
        <v>52</v>
      </c>
      <c r="N67" s="65" t="s">
        <v>53</v>
      </c>
      <c r="O67" s="65" t="s">
        <v>54</v>
      </c>
      <c r="P67" s="112" t="s">
        <v>317</v>
      </c>
      <c r="Q67" s="63" t="s">
        <v>55</v>
      </c>
      <c r="R67" s="63" t="s">
        <v>56</v>
      </c>
      <c r="S67" s="112" t="s">
        <v>57</v>
      </c>
    </row>
    <row r="68" spans="1:24" ht="31.9" customHeight="1">
      <c r="A68" s="201" t="str">
        <f>'Síntese '!B20</f>
        <v>Consulta médica na Atenção Especialziada</v>
      </c>
      <c r="B68" s="66" cm="1">
        <f t="array" ref="B68:C68">'Síntese '!C20:D20</f>
        <v>1250</v>
      </c>
      <c r="C68" s="66">
        <v>0</v>
      </c>
      <c r="D68" s="294">
        <f t="shared" ref="D68:O68" si="19">D94</f>
        <v>1264</v>
      </c>
      <c r="E68" s="294">
        <f t="shared" si="19"/>
        <v>1294</v>
      </c>
      <c r="F68" s="294">
        <f t="shared" si="19"/>
        <v>1351</v>
      </c>
      <c r="G68" s="62">
        <f t="shared" si="19"/>
        <v>0</v>
      </c>
      <c r="H68" s="62">
        <f t="shared" si="19"/>
        <v>0</v>
      </c>
      <c r="I68" s="62">
        <f t="shared" si="19"/>
        <v>0</v>
      </c>
      <c r="J68" s="62">
        <f t="shared" si="19"/>
        <v>0</v>
      </c>
      <c r="K68" s="62">
        <f t="shared" si="19"/>
        <v>0</v>
      </c>
      <c r="L68" s="62">
        <f t="shared" si="19"/>
        <v>0</v>
      </c>
      <c r="M68" s="62">
        <f t="shared" si="19"/>
        <v>0</v>
      </c>
      <c r="N68" s="62">
        <f t="shared" si="19"/>
        <v>0</v>
      </c>
      <c r="O68" s="62">
        <f t="shared" si="19"/>
        <v>0</v>
      </c>
      <c r="P68" s="111">
        <f>F68/B68</f>
        <v>1.0808</v>
      </c>
      <c r="Q68" s="195">
        <f>B68*12</f>
        <v>15000</v>
      </c>
      <c r="R68" s="195">
        <f>SUM(D68:O68)</f>
        <v>3909</v>
      </c>
      <c r="S68" s="391">
        <f>R68/Q68</f>
        <v>0.2606</v>
      </c>
    </row>
    <row r="69" spans="1:24" ht="31.9" customHeight="1">
      <c r="A69" s="201" t="s">
        <v>250</v>
      </c>
      <c r="B69" s="66" cm="1">
        <f t="array" ref="B69:C69">'Síntese '!C21:D21</f>
        <v>950</v>
      </c>
      <c r="C69" s="66">
        <v>0</v>
      </c>
      <c r="D69" s="294">
        <f t="shared" ref="D69:O69" si="20">D114</f>
        <v>1071</v>
      </c>
      <c r="E69" s="294">
        <f t="shared" si="20"/>
        <v>1183</v>
      </c>
      <c r="F69" s="294">
        <f t="shared" si="20"/>
        <v>1452</v>
      </c>
      <c r="G69" s="62">
        <f t="shared" si="20"/>
        <v>0</v>
      </c>
      <c r="H69" s="62">
        <f t="shared" si="20"/>
        <v>0</v>
      </c>
      <c r="I69" s="62">
        <f t="shared" si="20"/>
        <v>0</v>
      </c>
      <c r="J69" s="62">
        <f t="shared" si="20"/>
        <v>0</v>
      </c>
      <c r="K69" s="62">
        <f t="shared" si="20"/>
        <v>0</v>
      </c>
      <c r="L69" s="62">
        <f t="shared" si="20"/>
        <v>0</v>
      </c>
      <c r="M69" s="62">
        <f t="shared" si="20"/>
        <v>0</v>
      </c>
      <c r="N69" s="62">
        <f t="shared" si="20"/>
        <v>0</v>
      </c>
      <c r="O69" s="62">
        <f t="shared" si="20"/>
        <v>0</v>
      </c>
      <c r="P69" s="111">
        <f>F69/B69</f>
        <v>1.5284210526315789</v>
      </c>
      <c r="Q69" s="195">
        <f t="shared" ref="Q69:Q71" si="21">B69*12</f>
        <v>11400</v>
      </c>
      <c r="R69" s="195">
        <f t="shared" ref="R69:R70" si="22">SUM(D69:O69)</f>
        <v>3706</v>
      </c>
      <c r="S69" s="391">
        <f t="shared" ref="S69:S70" si="23">R69/Q69</f>
        <v>0.32508771929824559</v>
      </c>
    </row>
    <row r="70" spans="1:24" ht="31.9" customHeight="1">
      <c r="A70" s="201" t="str">
        <f>'Síntese '!B22</f>
        <v>Procedimentos Ambulatoriais</v>
      </c>
      <c r="B70" s="66" cm="1">
        <f t="array" ref="B70:C70">'Síntese '!C22:D22</f>
        <v>180</v>
      </c>
      <c r="C70" s="66">
        <v>0</v>
      </c>
      <c r="D70" s="294">
        <f t="shared" ref="D70:O70" si="24">D125</f>
        <v>186</v>
      </c>
      <c r="E70" s="294">
        <f t="shared" si="24"/>
        <v>178</v>
      </c>
      <c r="F70" s="294">
        <f t="shared" si="24"/>
        <v>194</v>
      </c>
      <c r="G70" s="62">
        <f t="shared" si="24"/>
        <v>0</v>
      </c>
      <c r="H70" s="62">
        <f t="shared" si="24"/>
        <v>0</v>
      </c>
      <c r="I70" s="62">
        <f t="shared" si="24"/>
        <v>0</v>
      </c>
      <c r="J70" s="62">
        <f t="shared" si="24"/>
        <v>0</v>
      </c>
      <c r="K70" s="62">
        <f t="shared" si="24"/>
        <v>0</v>
      </c>
      <c r="L70" s="62">
        <f t="shared" si="24"/>
        <v>0</v>
      </c>
      <c r="M70" s="62">
        <f t="shared" si="24"/>
        <v>0</v>
      </c>
      <c r="N70" s="62">
        <f t="shared" si="24"/>
        <v>0</v>
      </c>
      <c r="O70" s="62">
        <f t="shared" si="24"/>
        <v>0</v>
      </c>
      <c r="P70" s="111">
        <f>F70/B70</f>
        <v>1.0777777777777777</v>
      </c>
      <c r="Q70" s="195">
        <f t="shared" si="21"/>
        <v>2160</v>
      </c>
      <c r="R70" s="195">
        <f t="shared" si="22"/>
        <v>558</v>
      </c>
      <c r="S70" s="391">
        <f t="shared" si="23"/>
        <v>0.25833333333333336</v>
      </c>
    </row>
    <row r="71" spans="1:24" ht="18.75" customHeight="1">
      <c r="A71" s="63" t="s">
        <v>59</v>
      </c>
      <c r="B71" s="66">
        <f>SUM(B68:B70)</f>
        <v>2380</v>
      </c>
      <c r="C71" s="66"/>
      <c r="D71" s="66">
        <f>SUM(D68:D70)</f>
        <v>2521</v>
      </c>
      <c r="E71" s="66">
        <f t="shared" ref="E71:O71" si="25">SUM(E68:E70)</f>
        <v>2655</v>
      </c>
      <c r="F71" s="66">
        <f t="shared" si="25"/>
        <v>2997</v>
      </c>
      <c r="G71" s="66">
        <f t="shared" si="25"/>
        <v>0</v>
      </c>
      <c r="H71" s="66">
        <f t="shared" si="25"/>
        <v>0</v>
      </c>
      <c r="I71" s="66">
        <f t="shared" si="25"/>
        <v>0</v>
      </c>
      <c r="J71" s="66">
        <f t="shared" si="25"/>
        <v>0</v>
      </c>
      <c r="K71" s="66">
        <f t="shared" si="25"/>
        <v>0</v>
      </c>
      <c r="L71" s="66">
        <f t="shared" si="25"/>
        <v>0</v>
      </c>
      <c r="M71" s="66">
        <f t="shared" si="25"/>
        <v>0</v>
      </c>
      <c r="N71" s="66">
        <f t="shared" si="25"/>
        <v>0</v>
      </c>
      <c r="O71" s="66">
        <f t="shared" si="25"/>
        <v>0</v>
      </c>
      <c r="P71" s="402">
        <f>F71/B71</f>
        <v>1.2592436974789916</v>
      </c>
      <c r="Q71" s="68">
        <f t="shared" si="21"/>
        <v>28560</v>
      </c>
      <c r="R71" s="68">
        <f>SUM(D71:O71)</f>
        <v>8173</v>
      </c>
      <c r="S71" s="74">
        <f>R71/Q71</f>
        <v>0.28616946778711483</v>
      </c>
    </row>
    <row r="72" spans="1:24" s="190" customFormat="1" ht="24" customHeight="1">
      <c r="A72" s="339"/>
      <c r="B72" s="339"/>
      <c r="C72" s="339"/>
      <c r="D72" s="339"/>
      <c r="E72" s="339"/>
      <c r="F72" s="339"/>
      <c r="G72" s="339"/>
      <c r="H72" s="339"/>
      <c r="I72" s="339"/>
      <c r="J72" s="339"/>
      <c r="K72" s="339"/>
      <c r="L72" s="339"/>
      <c r="M72" s="339"/>
      <c r="N72" s="339"/>
      <c r="O72" s="339"/>
      <c r="P72" s="340"/>
    </row>
    <row r="73" spans="1:24" ht="45.75" customHeight="1">
      <c r="A73" s="63" t="s">
        <v>244</v>
      </c>
      <c r="B73" s="63" t="s">
        <v>248</v>
      </c>
      <c r="C73" s="169" t="s">
        <v>245</v>
      </c>
      <c r="D73" s="65" t="s">
        <v>43</v>
      </c>
      <c r="E73" s="65" t="s">
        <v>44</v>
      </c>
      <c r="F73" s="65" t="s">
        <v>45</v>
      </c>
      <c r="G73" s="65" t="s">
        <v>46</v>
      </c>
      <c r="H73" s="65" t="s">
        <v>47</v>
      </c>
      <c r="I73" s="65" t="s">
        <v>48</v>
      </c>
      <c r="J73" s="65" t="s">
        <v>49</v>
      </c>
      <c r="K73" s="65" t="s">
        <v>50</v>
      </c>
      <c r="L73" s="65" t="s">
        <v>51</v>
      </c>
      <c r="M73" s="65" t="s">
        <v>52</v>
      </c>
      <c r="N73" s="65" t="s">
        <v>53</v>
      </c>
      <c r="O73" s="65" t="s">
        <v>54</v>
      </c>
      <c r="P73" s="388" t="s">
        <v>307</v>
      </c>
      <c r="Q73" s="171"/>
      <c r="R73" s="171"/>
      <c r="S73" s="171"/>
      <c r="T73" s="171"/>
      <c r="U73" s="171"/>
      <c r="V73" s="172"/>
      <c r="W73" s="172"/>
      <c r="X73" s="172"/>
    </row>
    <row r="74" spans="1:24" ht="22.5" customHeight="1">
      <c r="A74" s="201" t="s">
        <v>153</v>
      </c>
      <c r="B74" s="495">
        <v>61</v>
      </c>
      <c r="C74" s="168"/>
      <c r="D74" s="293">
        <v>27</v>
      </c>
      <c r="E74" s="293">
        <v>33</v>
      </c>
      <c r="F74" s="293">
        <v>31</v>
      </c>
      <c r="G74" s="67"/>
      <c r="H74" s="67"/>
      <c r="I74" s="67"/>
      <c r="J74" s="67"/>
      <c r="K74" s="67"/>
      <c r="L74" s="67"/>
      <c r="M74" s="67"/>
      <c r="N74" s="255"/>
      <c r="O74" s="255"/>
      <c r="P74" s="392">
        <f t="shared" ref="P74:P80" si="26">SUM(D74:O74)</f>
        <v>91</v>
      </c>
      <c r="Q74" s="174"/>
      <c r="R74" s="174"/>
      <c r="S74" s="175"/>
      <c r="T74" s="175"/>
      <c r="U74" s="175"/>
      <c r="V74" s="517"/>
      <c r="W74" s="174"/>
      <c r="X74" s="176"/>
    </row>
    <row r="75" spans="1:24" ht="22.5" customHeight="1">
      <c r="A75" s="201" t="s">
        <v>154</v>
      </c>
      <c r="B75" s="496"/>
      <c r="C75" s="168"/>
      <c r="D75" s="293">
        <v>0</v>
      </c>
      <c r="E75" s="293">
        <v>0</v>
      </c>
      <c r="F75" s="293">
        <v>0</v>
      </c>
      <c r="G75" s="67"/>
      <c r="H75" s="67"/>
      <c r="I75" s="67"/>
      <c r="J75" s="67"/>
      <c r="K75" s="67"/>
      <c r="L75" s="67"/>
      <c r="M75" s="67"/>
      <c r="N75" s="255"/>
      <c r="O75" s="255"/>
      <c r="P75" s="392">
        <f t="shared" si="26"/>
        <v>0</v>
      </c>
      <c r="Q75" s="174"/>
      <c r="R75" s="174"/>
      <c r="S75" s="175"/>
      <c r="T75" s="175"/>
      <c r="U75" s="175"/>
      <c r="V75" s="517"/>
      <c r="W75" s="174"/>
      <c r="X75" s="176"/>
    </row>
    <row r="76" spans="1:24" ht="26.25" customHeight="1">
      <c r="A76" s="201" t="s">
        <v>155</v>
      </c>
      <c r="B76" s="496"/>
      <c r="C76" s="168"/>
      <c r="D76" s="293">
        <v>26</v>
      </c>
      <c r="E76" s="293">
        <v>22</v>
      </c>
      <c r="F76" s="293">
        <v>28</v>
      </c>
      <c r="G76" s="67"/>
      <c r="H76" s="67"/>
      <c r="I76" s="67"/>
      <c r="J76" s="67"/>
      <c r="K76" s="67"/>
      <c r="L76" s="67"/>
      <c r="M76" s="67"/>
      <c r="N76" s="255"/>
      <c r="O76" s="255"/>
      <c r="P76" s="392">
        <f t="shared" si="26"/>
        <v>76</v>
      </c>
      <c r="Q76" s="174"/>
      <c r="R76" s="174"/>
      <c r="S76" s="175"/>
      <c r="T76" s="175"/>
      <c r="U76" s="175"/>
      <c r="V76" s="517"/>
      <c r="W76" s="174"/>
      <c r="X76" s="176"/>
    </row>
    <row r="77" spans="1:24" ht="33.75" customHeight="1">
      <c r="A77" s="201" t="s">
        <v>246</v>
      </c>
      <c r="B77" s="496"/>
      <c r="C77" s="168"/>
      <c r="D77" s="293">
        <v>0</v>
      </c>
      <c r="E77" s="293">
        <v>0</v>
      </c>
      <c r="F77" s="293">
        <v>0</v>
      </c>
      <c r="G77" s="67"/>
      <c r="H77" s="67"/>
      <c r="I77" s="67"/>
      <c r="J77" s="67"/>
      <c r="K77" s="67"/>
      <c r="L77" s="67"/>
      <c r="M77" s="67"/>
      <c r="N77" s="255"/>
      <c r="O77" s="255"/>
      <c r="P77" s="392">
        <f t="shared" si="26"/>
        <v>0</v>
      </c>
      <c r="Q77" s="174"/>
      <c r="R77" s="174"/>
      <c r="S77" s="175"/>
      <c r="T77" s="175"/>
      <c r="U77" s="175"/>
      <c r="V77" s="517"/>
      <c r="W77" s="174"/>
      <c r="X77" s="176"/>
    </row>
    <row r="78" spans="1:24" ht="26.25" customHeight="1">
      <c r="A78" s="201" t="s">
        <v>158</v>
      </c>
      <c r="B78" s="496"/>
      <c r="C78" s="168"/>
      <c r="D78" s="293">
        <v>3</v>
      </c>
      <c r="E78" s="293">
        <v>5</v>
      </c>
      <c r="F78" s="293">
        <v>10</v>
      </c>
      <c r="G78" s="67"/>
      <c r="H78" s="67"/>
      <c r="I78" s="67"/>
      <c r="J78" s="67"/>
      <c r="K78" s="67"/>
      <c r="L78" s="67"/>
      <c r="M78" s="67"/>
      <c r="N78" s="255"/>
      <c r="O78" s="255"/>
      <c r="P78" s="392">
        <f t="shared" si="26"/>
        <v>18</v>
      </c>
      <c r="Q78" s="174"/>
      <c r="R78" s="174"/>
      <c r="S78" s="175"/>
      <c r="T78" s="175"/>
      <c r="U78" s="175"/>
      <c r="V78" s="517"/>
      <c r="W78" s="174"/>
      <c r="X78" s="176"/>
    </row>
    <row r="79" spans="1:24" ht="28.5" customHeight="1">
      <c r="A79" s="201" t="s">
        <v>247</v>
      </c>
      <c r="B79" s="496"/>
      <c r="C79" s="168"/>
      <c r="D79" s="293">
        <v>4</v>
      </c>
      <c r="E79" s="293">
        <v>4</v>
      </c>
      <c r="F79" s="293">
        <v>4</v>
      </c>
      <c r="G79" s="67"/>
      <c r="H79" s="67"/>
      <c r="I79" s="67"/>
      <c r="J79" s="67"/>
      <c r="K79" s="67"/>
      <c r="L79" s="67"/>
      <c r="M79" s="67"/>
      <c r="N79" s="255"/>
      <c r="O79" s="255"/>
      <c r="P79" s="392">
        <f t="shared" si="26"/>
        <v>12</v>
      </c>
      <c r="Q79" s="174"/>
      <c r="R79" s="174"/>
      <c r="S79" s="175"/>
      <c r="T79" s="175"/>
      <c r="U79" s="175"/>
      <c r="V79" s="517"/>
      <c r="W79" s="174"/>
      <c r="X79" s="176"/>
    </row>
    <row r="80" spans="1:24" ht="22.5" customHeight="1">
      <c r="A80" s="201" t="s">
        <v>159</v>
      </c>
      <c r="B80" s="496"/>
      <c r="C80" s="168"/>
      <c r="D80" s="293">
        <v>4</v>
      </c>
      <c r="E80" s="293">
        <v>3</v>
      </c>
      <c r="F80" s="293">
        <v>4</v>
      </c>
      <c r="G80" s="67"/>
      <c r="H80" s="67"/>
      <c r="I80" s="67"/>
      <c r="J80" s="67"/>
      <c r="K80" s="67"/>
      <c r="L80" s="67"/>
      <c r="M80" s="67"/>
      <c r="N80" s="255"/>
      <c r="O80" s="255"/>
      <c r="P80" s="392">
        <f t="shared" si="26"/>
        <v>11</v>
      </c>
      <c r="Q80" s="174"/>
      <c r="R80" s="174"/>
      <c r="S80" s="175"/>
      <c r="T80" s="175"/>
      <c r="U80" s="175"/>
      <c r="V80" s="517"/>
      <c r="W80" s="174"/>
      <c r="X80" s="176"/>
    </row>
    <row r="81" spans="1:24" ht="23.25" customHeight="1">
      <c r="A81" s="63" t="s">
        <v>59</v>
      </c>
      <c r="B81" s="497"/>
      <c r="C81" s="177"/>
      <c r="D81" s="66">
        <f>SUM(D74:D80)</f>
        <v>64</v>
      </c>
      <c r="E81" s="66">
        <f t="shared" ref="E81:F81" si="27">SUM(E74:E80)</f>
        <v>67</v>
      </c>
      <c r="F81" s="66">
        <f t="shared" si="27"/>
        <v>77</v>
      </c>
      <c r="G81" s="66">
        <f t="shared" ref="G81" si="28">SUM(G74:G80)</f>
        <v>0</v>
      </c>
      <c r="H81" s="66">
        <f t="shared" ref="H81" si="29">SUM(H74:H80)</f>
        <v>0</v>
      </c>
      <c r="I81" s="66">
        <f t="shared" ref="I81" si="30">SUM(I74:I80)</f>
        <v>0</v>
      </c>
      <c r="J81" s="66">
        <f t="shared" ref="J81" si="31">SUM(J74:J80)</f>
        <v>0</v>
      </c>
      <c r="K81" s="66">
        <f t="shared" ref="K81" si="32">SUM(K74:K80)</f>
        <v>0</v>
      </c>
      <c r="L81" s="66">
        <f t="shared" ref="L81" si="33">SUM(L74:L80)</f>
        <v>0</v>
      </c>
      <c r="M81" s="66">
        <f t="shared" ref="M81" si="34">SUM(M74:M80)</f>
        <v>0</v>
      </c>
      <c r="N81" s="66">
        <f t="shared" ref="N81" si="35">SUM(N74:N80)</f>
        <v>0</v>
      </c>
      <c r="O81" s="66">
        <f t="shared" ref="O81" si="36">SUM(O74:O80)</f>
        <v>0</v>
      </c>
      <c r="P81" s="390">
        <f>SUM(P74:P80)</f>
        <v>208</v>
      </c>
      <c r="Q81" s="178"/>
      <c r="R81" s="178"/>
      <c r="S81" s="178"/>
      <c r="T81" s="178"/>
      <c r="U81" s="178"/>
      <c r="V81" s="517"/>
      <c r="W81" s="174"/>
      <c r="X81" s="176"/>
    </row>
    <row r="82" spans="1:24" s="190" customFormat="1" ht="18" customHeight="1">
      <c r="A82" s="348"/>
      <c r="B82" s="349"/>
      <c r="C82" s="340"/>
      <c r="D82" s="350"/>
      <c r="E82" s="350"/>
      <c r="F82" s="350"/>
      <c r="G82" s="350"/>
      <c r="H82" s="350"/>
      <c r="I82" s="350"/>
      <c r="J82" s="350"/>
      <c r="K82" s="350"/>
      <c r="L82" s="350"/>
      <c r="M82" s="350"/>
      <c r="N82" s="350"/>
      <c r="O82" s="350"/>
      <c r="P82" s="340"/>
      <c r="Q82" s="340"/>
      <c r="R82" s="340"/>
      <c r="S82" s="340"/>
      <c r="T82" s="340"/>
      <c r="U82" s="340"/>
      <c r="V82" s="354"/>
      <c r="W82" s="355"/>
      <c r="X82" s="356"/>
    </row>
    <row r="83" spans="1:24" ht="30">
      <c r="A83" s="204" t="s">
        <v>251</v>
      </c>
      <c r="B83" s="63" t="s">
        <v>248</v>
      </c>
      <c r="C83" s="64"/>
      <c r="D83" s="65" t="s">
        <v>43</v>
      </c>
      <c r="E83" s="65" t="s">
        <v>44</v>
      </c>
      <c r="F83" s="65" t="s">
        <v>45</v>
      </c>
      <c r="G83" s="65" t="s">
        <v>46</v>
      </c>
      <c r="H83" s="65" t="s">
        <v>47</v>
      </c>
      <c r="I83" s="65" t="s">
        <v>48</v>
      </c>
      <c r="J83" s="65" t="s">
        <v>49</v>
      </c>
      <c r="K83" s="65" t="s">
        <v>50</v>
      </c>
      <c r="L83" s="65" t="s">
        <v>51</v>
      </c>
      <c r="M83" s="65" t="s">
        <v>52</v>
      </c>
      <c r="N83" s="65" t="s">
        <v>53</v>
      </c>
      <c r="O83" s="65" t="s">
        <v>54</v>
      </c>
      <c r="P83" s="112" t="s">
        <v>317</v>
      </c>
      <c r="Q83" s="63" t="s">
        <v>55</v>
      </c>
      <c r="R83" s="63" t="s">
        <v>56</v>
      </c>
      <c r="S83" s="112" t="s">
        <v>306</v>
      </c>
    </row>
    <row r="84" spans="1:24" ht="18.75" customHeight="1">
      <c r="A84" s="206" t="s">
        <v>161</v>
      </c>
      <c r="B84" s="518">
        <v>1250</v>
      </c>
      <c r="C84" s="66">
        <f t="array" ref="C84">'Síntese '!D25:E25</f>
        <v>0</v>
      </c>
      <c r="D84" s="295">
        <v>129</v>
      </c>
      <c r="E84" s="295">
        <v>125</v>
      </c>
      <c r="F84" s="295">
        <v>200</v>
      </c>
      <c r="G84" s="101"/>
      <c r="H84" s="101"/>
      <c r="I84" s="101"/>
      <c r="J84" s="101"/>
      <c r="K84" s="101"/>
      <c r="L84" s="101"/>
      <c r="M84" s="101"/>
      <c r="N84" s="257"/>
      <c r="O84" s="257"/>
      <c r="P84" s="524">
        <f>F94/B84</f>
        <v>1.0808</v>
      </c>
      <c r="Q84" s="530">
        <f>B84*12</f>
        <v>15000</v>
      </c>
      <c r="R84" s="393">
        <f t="shared" ref="R84:R94" si="37">SUM(D84:O84)</f>
        <v>454</v>
      </c>
      <c r="S84" s="394">
        <f>R84/Q84</f>
        <v>3.0266666666666667E-2</v>
      </c>
    </row>
    <row r="85" spans="1:24" ht="18.75" customHeight="1">
      <c r="A85" s="205" t="s">
        <v>152</v>
      </c>
      <c r="B85" s="519"/>
      <c r="C85" s="66">
        <f t="array" ref="C85">'Síntese '!D26:E26</f>
        <v>0</v>
      </c>
      <c r="D85" s="296">
        <v>119</v>
      </c>
      <c r="E85" s="296">
        <v>107</v>
      </c>
      <c r="F85" s="295">
        <v>170</v>
      </c>
      <c r="G85" s="101"/>
      <c r="H85" s="101"/>
      <c r="I85" s="101"/>
      <c r="J85" s="101"/>
      <c r="K85" s="101"/>
      <c r="L85" s="101"/>
      <c r="M85" s="101"/>
      <c r="N85" s="257"/>
      <c r="O85" s="257"/>
      <c r="P85" s="525"/>
      <c r="Q85" s="531"/>
      <c r="R85" s="393">
        <f t="shared" si="37"/>
        <v>396</v>
      </c>
      <c r="S85" s="394">
        <f>R85/Q84</f>
        <v>2.64E-2</v>
      </c>
    </row>
    <row r="86" spans="1:24" ht="18.75" customHeight="1">
      <c r="A86" s="205" t="s">
        <v>153</v>
      </c>
      <c r="B86" s="519"/>
      <c r="C86" s="66">
        <f t="array" ref="C86">'Síntese '!D27:E27</f>
        <v>0</v>
      </c>
      <c r="D86" s="296">
        <v>247</v>
      </c>
      <c r="E86" s="296">
        <v>227</v>
      </c>
      <c r="F86" s="295">
        <v>245</v>
      </c>
      <c r="G86" s="101"/>
      <c r="H86" s="101"/>
      <c r="I86" s="101"/>
      <c r="J86" s="101"/>
      <c r="K86" s="101"/>
      <c r="L86" s="101"/>
      <c r="M86" s="101"/>
      <c r="N86" s="257"/>
      <c r="O86" s="257"/>
      <c r="P86" s="525"/>
      <c r="Q86" s="531"/>
      <c r="R86" s="393">
        <f t="shared" si="37"/>
        <v>719</v>
      </c>
      <c r="S86" s="394">
        <f>R86/Q84</f>
        <v>4.7933333333333335E-2</v>
      </c>
    </row>
    <row r="87" spans="1:24" ht="18.75" customHeight="1">
      <c r="A87" s="205" t="s">
        <v>154</v>
      </c>
      <c r="B87" s="519"/>
      <c r="C87" s="66">
        <f t="array" ref="C87">'Síntese '!D28:E28</f>
        <v>0</v>
      </c>
      <c r="D87" s="296">
        <v>6</v>
      </c>
      <c r="E87" s="296">
        <v>11</v>
      </c>
      <c r="F87" s="295">
        <v>25</v>
      </c>
      <c r="G87" s="101"/>
      <c r="H87" s="101"/>
      <c r="I87" s="101"/>
      <c r="J87" s="101"/>
      <c r="K87" s="101"/>
      <c r="L87" s="101"/>
      <c r="M87" s="101"/>
      <c r="N87" s="257"/>
      <c r="O87" s="257"/>
      <c r="P87" s="525"/>
      <c r="Q87" s="531"/>
      <c r="R87" s="393">
        <f t="shared" si="37"/>
        <v>42</v>
      </c>
      <c r="S87" s="394">
        <f>R87/Q84</f>
        <v>2.8E-3</v>
      </c>
    </row>
    <row r="88" spans="1:24" ht="18.75" customHeight="1">
      <c r="A88" s="207" t="s">
        <v>155</v>
      </c>
      <c r="B88" s="519"/>
      <c r="C88" s="66">
        <f t="array" ref="C88">'Síntese '!D29:E29</f>
        <v>0</v>
      </c>
      <c r="D88" s="297">
        <v>143</v>
      </c>
      <c r="E88" s="297">
        <v>192</v>
      </c>
      <c r="F88" s="295">
        <v>211</v>
      </c>
      <c r="G88" s="101"/>
      <c r="H88" s="101"/>
      <c r="I88" s="101"/>
      <c r="J88" s="101"/>
      <c r="K88" s="101"/>
      <c r="L88" s="101"/>
      <c r="M88" s="101"/>
      <c r="N88" s="257"/>
      <c r="O88" s="257"/>
      <c r="P88" s="525"/>
      <c r="Q88" s="531"/>
      <c r="R88" s="393">
        <f t="shared" si="37"/>
        <v>546</v>
      </c>
      <c r="S88" s="394">
        <f>R88/Q84</f>
        <v>3.6400000000000002E-2</v>
      </c>
    </row>
    <row r="89" spans="1:24" ht="18.75" customHeight="1">
      <c r="A89" s="207" t="s">
        <v>156</v>
      </c>
      <c r="B89" s="519"/>
      <c r="C89" s="66">
        <f t="array" ref="C89">'Síntese '!D30:E30</f>
        <v>0</v>
      </c>
      <c r="D89" s="297">
        <v>0</v>
      </c>
      <c r="E89" s="297">
        <v>0</v>
      </c>
      <c r="F89" s="295">
        <v>0</v>
      </c>
      <c r="G89" s="101"/>
      <c r="H89" s="101"/>
      <c r="I89" s="101"/>
      <c r="J89" s="101"/>
      <c r="K89" s="101"/>
      <c r="L89" s="101"/>
      <c r="M89" s="101"/>
      <c r="N89" s="257"/>
      <c r="O89" s="257"/>
      <c r="P89" s="525"/>
      <c r="Q89" s="531"/>
      <c r="R89" s="393">
        <f t="shared" si="37"/>
        <v>0</v>
      </c>
      <c r="S89" s="394">
        <f>R89/Q84</f>
        <v>0</v>
      </c>
    </row>
    <row r="90" spans="1:24" ht="18.75" customHeight="1">
      <c r="A90" s="207" t="s">
        <v>157</v>
      </c>
      <c r="B90" s="519"/>
      <c r="C90" s="66">
        <f t="array" ref="C90">'Síntese '!D31:E31</f>
        <v>0</v>
      </c>
      <c r="D90" s="297">
        <v>489</v>
      </c>
      <c r="E90" s="297">
        <v>485</v>
      </c>
      <c r="F90" s="295">
        <v>366</v>
      </c>
      <c r="G90" s="101"/>
      <c r="H90" s="101"/>
      <c r="I90" s="101"/>
      <c r="J90" s="101"/>
      <c r="K90" s="101"/>
      <c r="L90" s="101"/>
      <c r="M90" s="101"/>
      <c r="N90" s="257"/>
      <c r="O90" s="257"/>
      <c r="P90" s="525"/>
      <c r="Q90" s="531"/>
      <c r="R90" s="393">
        <f t="shared" si="37"/>
        <v>1340</v>
      </c>
      <c r="S90" s="394">
        <f>R90/Q84</f>
        <v>8.9333333333333334E-2</v>
      </c>
    </row>
    <row r="91" spans="1:24" ht="18.75" customHeight="1">
      <c r="A91" s="207" t="s">
        <v>158</v>
      </c>
      <c r="B91" s="519"/>
      <c r="C91" s="66">
        <f t="array" ref="C91">'Síntese '!D32:E32</f>
        <v>0</v>
      </c>
      <c r="D91" s="297">
        <v>87</v>
      </c>
      <c r="E91" s="297">
        <v>89</v>
      </c>
      <c r="F91" s="295">
        <v>78</v>
      </c>
      <c r="G91" s="101"/>
      <c r="H91" s="101"/>
      <c r="I91" s="101"/>
      <c r="J91" s="101"/>
      <c r="K91" s="101"/>
      <c r="L91" s="101"/>
      <c r="M91" s="101"/>
      <c r="N91" s="257"/>
      <c r="O91" s="257"/>
      <c r="P91" s="525"/>
      <c r="Q91" s="531"/>
      <c r="R91" s="393">
        <f t="shared" si="37"/>
        <v>254</v>
      </c>
      <c r="S91" s="394">
        <f>R91/Q84</f>
        <v>1.6933333333333335E-2</v>
      </c>
    </row>
    <row r="92" spans="1:24" ht="18.75" customHeight="1">
      <c r="A92" s="207" t="s">
        <v>159</v>
      </c>
      <c r="B92" s="519"/>
      <c r="C92" s="66">
        <f t="array" ref="C92">'Síntese '!D33:E33</f>
        <v>0</v>
      </c>
      <c r="D92" s="297">
        <v>18</v>
      </c>
      <c r="E92" s="297">
        <v>19</v>
      </c>
      <c r="F92" s="295">
        <v>18</v>
      </c>
      <c r="G92" s="101"/>
      <c r="H92" s="101"/>
      <c r="I92" s="101"/>
      <c r="J92" s="101"/>
      <c r="K92" s="101"/>
      <c r="L92" s="101"/>
      <c r="M92" s="101"/>
      <c r="N92" s="257"/>
      <c r="O92" s="257"/>
      <c r="P92" s="525"/>
      <c r="Q92" s="531"/>
      <c r="R92" s="393">
        <f t="shared" si="37"/>
        <v>55</v>
      </c>
      <c r="S92" s="394">
        <f>R92/Q84</f>
        <v>3.6666666666666666E-3</v>
      </c>
    </row>
    <row r="93" spans="1:24" ht="18.75" customHeight="1">
      <c r="A93" s="207" t="s">
        <v>160</v>
      </c>
      <c r="B93" s="519"/>
      <c r="C93" s="66">
        <f t="array" ref="C93">'Síntese '!D34:E34</f>
        <v>0</v>
      </c>
      <c r="D93" s="297">
        <v>26</v>
      </c>
      <c r="E93" s="297">
        <v>39</v>
      </c>
      <c r="F93" s="295">
        <v>38</v>
      </c>
      <c r="G93" s="101"/>
      <c r="H93" s="101"/>
      <c r="I93" s="101"/>
      <c r="J93" s="101"/>
      <c r="K93" s="101"/>
      <c r="L93" s="101"/>
      <c r="M93" s="101"/>
      <c r="N93" s="257"/>
      <c r="O93" s="257"/>
      <c r="P93" s="525"/>
      <c r="Q93" s="531"/>
      <c r="R93" s="393">
        <f t="shared" si="37"/>
        <v>103</v>
      </c>
      <c r="S93" s="394">
        <f>R93/Q84</f>
        <v>6.8666666666666668E-3</v>
      </c>
    </row>
    <row r="94" spans="1:24" ht="18.75" customHeight="1">
      <c r="A94" s="208" t="s">
        <v>59</v>
      </c>
      <c r="B94" s="520"/>
      <c r="C94" s="66"/>
      <c r="D94" s="66">
        <f>SUM(D84:D93)</f>
        <v>1264</v>
      </c>
      <c r="E94" s="66">
        <f t="shared" ref="E94:F94" si="38">SUM(E84:E93)</f>
        <v>1294</v>
      </c>
      <c r="F94" s="66">
        <f t="shared" si="38"/>
        <v>1351</v>
      </c>
      <c r="G94" s="66">
        <f t="shared" ref="G94" si="39">SUM(G84:G93)</f>
        <v>0</v>
      </c>
      <c r="H94" s="66">
        <f t="shared" ref="H94" si="40">SUM(H84:H93)</f>
        <v>0</v>
      </c>
      <c r="I94" s="66">
        <f t="shared" ref="I94" si="41">SUM(I84:I93)</f>
        <v>0</v>
      </c>
      <c r="J94" s="66">
        <f t="shared" ref="J94" si="42">SUM(J84:J93)</f>
        <v>0</v>
      </c>
      <c r="K94" s="66">
        <f t="shared" ref="K94" si="43">SUM(K84:K93)</f>
        <v>0</v>
      </c>
      <c r="L94" s="66">
        <f t="shared" ref="L94" si="44">SUM(L84:L93)</f>
        <v>0</v>
      </c>
      <c r="M94" s="66">
        <f t="shared" ref="M94" si="45">SUM(M84:M93)</f>
        <v>0</v>
      </c>
      <c r="N94" s="66">
        <f t="shared" ref="N94" si="46">SUM(N84:N93)</f>
        <v>0</v>
      </c>
      <c r="O94" s="66">
        <f>SUM(O84:O93)</f>
        <v>0</v>
      </c>
      <c r="P94" s="526"/>
      <c r="Q94" s="532"/>
      <c r="R94" s="395">
        <f t="shared" si="37"/>
        <v>3909</v>
      </c>
      <c r="S94" s="394">
        <f>R94/Q84</f>
        <v>0.2606</v>
      </c>
    </row>
    <row r="95" spans="1:24" ht="16.149999999999999" customHeight="1">
      <c r="A95" s="348"/>
      <c r="B95" s="349"/>
      <c r="C95" s="340"/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0"/>
      <c r="O95" s="350"/>
      <c r="P95" s="340"/>
      <c r="Q95" s="178"/>
      <c r="R95" s="178"/>
      <c r="S95" s="178"/>
      <c r="T95" s="178"/>
      <c r="U95" s="178"/>
      <c r="V95" s="171"/>
      <c r="W95" s="174"/>
      <c r="X95" s="176"/>
    </row>
    <row r="96" spans="1:24" ht="15">
      <c r="A96" s="204" t="s">
        <v>298</v>
      </c>
      <c r="B96" s="63" t="s">
        <v>248</v>
      </c>
      <c r="C96" s="64"/>
      <c r="D96" s="65" t="s">
        <v>43</v>
      </c>
      <c r="E96" s="65" t="s">
        <v>44</v>
      </c>
      <c r="F96" s="65" t="s">
        <v>45</v>
      </c>
      <c r="G96" s="65" t="s">
        <v>46</v>
      </c>
      <c r="H96" s="65" t="s">
        <v>47</v>
      </c>
      <c r="I96" s="65" t="s">
        <v>48</v>
      </c>
      <c r="J96" s="65" t="s">
        <v>49</v>
      </c>
      <c r="K96" s="65" t="s">
        <v>50</v>
      </c>
      <c r="L96" s="65" t="s">
        <v>51</v>
      </c>
      <c r="M96" s="65" t="s">
        <v>52</v>
      </c>
      <c r="N96" s="65" t="s">
        <v>53</v>
      </c>
      <c r="O96" s="65" t="s">
        <v>54</v>
      </c>
      <c r="P96" s="63" t="s">
        <v>55</v>
      </c>
      <c r="Q96" s="63" t="s">
        <v>56</v>
      </c>
      <c r="R96" s="112" t="s">
        <v>57</v>
      </c>
    </row>
    <row r="97" spans="1:19" ht="18.75" customHeight="1">
      <c r="A97" s="206" t="s">
        <v>294</v>
      </c>
      <c r="B97" s="66">
        <v>500</v>
      </c>
      <c r="C97" s="66" t="str">
        <f t="array" ref="C97">'Síntese '!D38:E38</f>
        <v>≤ 4 dias</v>
      </c>
      <c r="D97" s="295">
        <v>208</v>
      </c>
      <c r="E97" s="295">
        <v>182</v>
      </c>
      <c r="F97" s="295">
        <v>254</v>
      </c>
      <c r="G97" s="101"/>
      <c r="H97" s="101"/>
      <c r="I97" s="101"/>
      <c r="J97" s="101"/>
      <c r="K97" s="101"/>
      <c r="L97" s="101"/>
      <c r="M97" s="101"/>
      <c r="N97" s="257"/>
      <c r="O97" s="257"/>
      <c r="P97" s="195">
        <f>B97*12</f>
        <v>6000</v>
      </c>
      <c r="Q97" s="195">
        <f>SUM(D97:O97)</f>
        <v>644</v>
      </c>
      <c r="R97" s="391">
        <f>Q97/P97</f>
        <v>0.10733333333333334</v>
      </c>
    </row>
    <row r="98" spans="1:19" ht="18.75" customHeight="1">
      <c r="A98" s="205" t="s">
        <v>295</v>
      </c>
      <c r="B98" s="66">
        <v>125</v>
      </c>
      <c r="C98" s="66" t="str">
        <f t="array" ref="C98">'Síntese '!D39:E39</f>
        <v>≤ 24</v>
      </c>
      <c r="D98" s="296">
        <v>248</v>
      </c>
      <c r="E98" s="296">
        <v>62</v>
      </c>
      <c r="F98" s="295">
        <v>177</v>
      </c>
      <c r="G98" s="101"/>
      <c r="H98" s="101"/>
      <c r="I98" s="101"/>
      <c r="J98" s="101"/>
      <c r="K98" s="101"/>
      <c r="L98" s="101"/>
      <c r="M98" s="101"/>
      <c r="N98" s="257"/>
      <c r="O98" s="257"/>
      <c r="P98" s="195">
        <f t="shared" ref="P98:P99" si="47">B98*12</f>
        <v>1500</v>
      </c>
      <c r="Q98" s="195">
        <f>SUM(D98:O98)</f>
        <v>487</v>
      </c>
      <c r="R98" s="391">
        <f>Q98/P98</f>
        <v>0.32466666666666666</v>
      </c>
    </row>
    <row r="99" spans="1:19" ht="18.75" customHeight="1">
      <c r="A99" s="205" t="s">
        <v>296</v>
      </c>
      <c r="B99" s="66">
        <v>625</v>
      </c>
      <c r="C99" s="66" t="str">
        <f t="array" ref="C99">'Síntese '!D40:E40</f>
        <v>&lt; 5%</v>
      </c>
      <c r="D99" s="296">
        <v>1056</v>
      </c>
      <c r="E99" s="296">
        <v>1112</v>
      </c>
      <c r="F99" s="296">
        <v>1108</v>
      </c>
      <c r="G99" s="236"/>
      <c r="H99" s="236"/>
      <c r="I99" s="236"/>
      <c r="J99" s="236"/>
      <c r="K99" s="236"/>
      <c r="L99" s="236"/>
      <c r="M99" s="101"/>
      <c r="N99" s="257"/>
      <c r="O99" s="257"/>
      <c r="P99" s="195">
        <f t="shared" si="47"/>
        <v>7500</v>
      </c>
      <c r="Q99" s="195">
        <f>SUM(D99:O99)</f>
        <v>3276</v>
      </c>
      <c r="R99" s="391">
        <f>Q99/P99</f>
        <v>0.43680000000000002</v>
      </c>
    </row>
    <row r="100" spans="1:19" ht="18.75" customHeight="1">
      <c r="A100" s="208" t="s">
        <v>59</v>
      </c>
      <c r="B100" s="66">
        <f>SUM(B97:B99)</f>
        <v>1250</v>
      </c>
      <c r="C100" s="66"/>
      <c r="D100" s="66">
        <f>SUM(D97:D99)</f>
        <v>1512</v>
      </c>
      <c r="E100" s="66">
        <f t="shared" ref="E100:O100" si="48">SUM(E97:E99)</f>
        <v>1356</v>
      </c>
      <c r="F100" s="66">
        <f t="shared" si="48"/>
        <v>1539</v>
      </c>
      <c r="G100" s="66">
        <f t="shared" si="48"/>
        <v>0</v>
      </c>
      <c r="H100" s="66">
        <f t="shared" si="48"/>
        <v>0</v>
      </c>
      <c r="I100" s="66">
        <f t="shared" si="48"/>
        <v>0</v>
      </c>
      <c r="J100" s="66">
        <f t="shared" si="48"/>
        <v>0</v>
      </c>
      <c r="K100" s="66">
        <f t="shared" si="48"/>
        <v>0</v>
      </c>
      <c r="L100" s="66">
        <f t="shared" si="48"/>
        <v>0</v>
      </c>
      <c r="M100" s="66">
        <f t="shared" si="48"/>
        <v>0</v>
      </c>
      <c r="N100" s="66">
        <f t="shared" si="48"/>
        <v>0</v>
      </c>
      <c r="O100" s="66">
        <f t="shared" si="48"/>
        <v>0</v>
      </c>
      <c r="P100" s="376">
        <f>B100*12</f>
        <v>15000</v>
      </c>
      <c r="Q100" s="376">
        <f>SUM(D100:O100)</f>
        <v>4407</v>
      </c>
      <c r="R100" s="396">
        <f>Q100/P100</f>
        <v>0.29380000000000001</v>
      </c>
    </row>
    <row r="101" spans="1:19" ht="18.75" customHeight="1">
      <c r="A101" s="351"/>
      <c r="B101" s="350"/>
      <c r="C101" s="350"/>
      <c r="D101" s="350"/>
      <c r="E101" s="350"/>
      <c r="F101" s="350"/>
      <c r="G101" s="350"/>
      <c r="H101" s="350"/>
      <c r="I101" s="350"/>
      <c r="J101" s="350"/>
      <c r="K101" s="350"/>
      <c r="L101" s="350"/>
      <c r="M101" s="350"/>
      <c r="N101" s="350"/>
      <c r="O101" s="350"/>
      <c r="P101" s="352"/>
      <c r="Q101" s="352"/>
      <c r="R101" s="353"/>
    </row>
    <row r="102" spans="1:19" ht="30">
      <c r="A102" s="204" t="s">
        <v>252</v>
      </c>
      <c r="B102" s="63" t="s">
        <v>248</v>
      </c>
      <c r="C102" s="64"/>
      <c r="D102" s="65" t="s">
        <v>43</v>
      </c>
      <c r="E102" s="65" t="s">
        <v>44</v>
      </c>
      <c r="F102" s="65" t="s">
        <v>45</v>
      </c>
      <c r="G102" s="65" t="s">
        <v>46</v>
      </c>
      <c r="H102" s="65" t="s">
        <v>47</v>
      </c>
      <c r="I102" s="65" t="s">
        <v>48</v>
      </c>
      <c r="J102" s="65" t="s">
        <v>49</v>
      </c>
      <c r="K102" s="65" t="s">
        <v>50</v>
      </c>
      <c r="L102" s="65" t="s">
        <v>51</v>
      </c>
      <c r="M102" s="65" t="s">
        <v>52</v>
      </c>
      <c r="N102" s="65" t="s">
        <v>53</v>
      </c>
      <c r="O102" s="65" t="s">
        <v>54</v>
      </c>
      <c r="P102" s="112" t="s">
        <v>317</v>
      </c>
      <c r="Q102" s="63" t="s">
        <v>55</v>
      </c>
      <c r="R102" s="63" t="s">
        <v>56</v>
      </c>
      <c r="S102" s="112" t="s">
        <v>306</v>
      </c>
    </row>
    <row r="103" spans="1:19" ht="18.75" customHeight="1">
      <c r="A103" s="205" t="s">
        <v>62</v>
      </c>
      <c r="B103" s="518">
        <v>950</v>
      </c>
      <c r="C103" s="66">
        <v>0</v>
      </c>
      <c r="D103" s="296">
        <v>0</v>
      </c>
      <c r="E103" s="296">
        <v>0</v>
      </c>
      <c r="F103" s="295">
        <v>0</v>
      </c>
      <c r="G103" s="101"/>
      <c r="H103" s="101"/>
      <c r="I103" s="101"/>
      <c r="J103" s="101"/>
      <c r="K103" s="101"/>
      <c r="L103" s="101"/>
      <c r="M103" s="101"/>
      <c r="N103" s="257"/>
      <c r="O103" s="257"/>
      <c r="P103" s="524">
        <f>F114/B103</f>
        <v>1.5284210526315789</v>
      </c>
      <c r="Q103" s="514">
        <f>B103*12</f>
        <v>11400</v>
      </c>
      <c r="R103" s="195">
        <f t="shared" ref="R103:R114" si="49">SUM(D103:O103)</f>
        <v>0</v>
      </c>
      <c r="S103" s="391">
        <f>R103/Q103</f>
        <v>0</v>
      </c>
    </row>
    <row r="104" spans="1:19" ht="18.75" customHeight="1">
      <c r="A104" s="205" t="s">
        <v>162</v>
      </c>
      <c r="B104" s="519"/>
      <c r="C104" s="66">
        <v>0</v>
      </c>
      <c r="D104" s="296">
        <v>16</v>
      </c>
      <c r="E104" s="296">
        <v>20</v>
      </c>
      <c r="F104" s="295">
        <v>0</v>
      </c>
      <c r="G104" s="101"/>
      <c r="H104" s="101"/>
      <c r="I104" s="101"/>
      <c r="J104" s="101"/>
      <c r="K104" s="101"/>
      <c r="L104" s="101"/>
      <c r="M104" s="101"/>
      <c r="N104" s="257"/>
      <c r="O104" s="257"/>
      <c r="P104" s="525"/>
      <c r="Q104" s="515"/>
      <c r="R104" s="195">
        <f t="shared" si="49"/>
        <v>36</v>
      </c>
      <c r="S104" s="391">
        <f>R104/Q103</f>
        <v>3.1578947368421052E-3</v>
      </c>
    </row>
    <row r="105" spans="1:19" ht="18.75" customHeight="1">
      <c r="A105" s="205" t="s">
        <v>163</v>
      </c>
      <c r="B105" s="519"/>
      <c r="C105" s="66">
        <v>0</v>
      </c>
      <c r="D105" s="296">
        <v>0</v>
      </c>
      <c r="E105" s="296">
        <v>0</v>
      </c>
      <c r="F105" s="295">
        <v>0</v>
      </c>
      <c r="G105" s="101"/>
      <c r="H105" s="101"/>
      <c r="I105" s="101"/>
      <c r="J105" s="101"/>
      <c r="K105" s="101"/>
      <c r="L105" s="101"/>
      <c r="M105" s="101"/>
      <c r="N105" s="257"/>
      <c r="O105" s="257"/>
      <c r="P105" s="525"/>
      <c r="Q105" s="515"/>
      <c r="R105" s="195">
        <f t="shared" si="49"/>
        <v>0</v>
      </c>
      <c r="S105" s="391">
        <f>R105/Q103</f>
        <v>0</v>
      </c>
    </row>
    <row r="106" spans="1:19" ht="18.75" customHeight="1">
      <c r="A106" s="205" t="s">
        <v>164</v>
      </c>
      <c r="B106" s="519"/>
      <c r="C106" s="66">
        <v>0</v>
      </c>
      <c r="D106" s="296">
        <v>783</v>
      </c>
      <c r="E106" s="296">
        <v>872</v>
      </c>
      <c r="F106" s="295">
        <v>1150</v>
      </c>
      <c r="G106" s="101"/>
      <c r="H106" s="101"/>
      <c r="I106" s="101"/>
      <c r="J106" s="101"/>
      <c r="K106" s="101"/>
      <c r="L106" s="101"/>
      <c r="M106" s="101"/>
      <c r="N106" s="257"/>
      <c r="O106" s="257"/>
      <c r="P106" s="525"/>
      <c r="Q106" s="515"/>
      <c r="R106" s="195">
        <f t="shared" si="49"/>
        <v>2805</v>
      </c>
      <c r="S106" s="391">
        <f>R106/Q103</f>
        <v>0.24605263157894736</v>
      </c>
    </row>
    <row r="107" spans="1:19" ht="18.75" customHeight="1">
      <c r="A107" s="205" t="s">
        <v>165</v>
      </c>
      <c r="B107" s="519"/>
      <c r="C107" s="66">
        <v>0</v>
      </c>
      <c r="D107" s="296">
        <v>0</v>
      </c>
      <c r="E107" s="296">
        <v>0</v>
      </c>
      <c r="F107" s="295">
        <v>122</v>
      </c>
      <c r="G107" s="101"/>
      <c r="H107" s="101"/>
      <c r="I107" s="101"/>
      <c r="J107" s="101"/>
      <c r="K107" s="101"/>
      <c r="L107" s="101"/>
      <c r="M107" s="101"/>
      <c r="N107" s="257"/>
      <c r="O107" s="257"/>
      <c r="P107" s="525"/>
      <c r="Q107" s="515"/>
      <c r="R107" s="195">
        <f t="shared" si="49"/>
        <v>122</v>
      </c>
      <c r="S107" s="391">
        <f>R107/Q103</f>
        <v>1.0701754385964912E-2</v>
      </c>
    </row>
    <row r="108" spans="1:19" ht="18.75" customHeight="1">
      <c r="A108" s="205" t="s">
        <v>166</v>
      </c>
      <c r="B108" s="519"/>
      <c r="C108" s="66">
        <v>0</v>
      </c>
      <c r="D108" s="296">
        <v>49</v>
      </c>
      <c r="E108" s="296">
        <v>49</v>
      </c>
      <c r="F108" s="295">
        <v>25</v>
      </c>
      <c r="G108" s="101"/>
      <c r="H108" s="101"/>
      <c r="I108" s="101"/>
      <c r="J108" s="101"/>
      <c r="K108" s="101"/>
      <c r="L108" s="101"/>
      <c r="M108" s="101"/>
      <c r="N108" s="257"/>
      <c r="O108" s="257"/>
      <c r="P108" s="525"/>
      <c r="Q108" s="515"/>
      <c r="R108" s="195">
        <f t="shared" si="49"/>
        <v>123</v>
      </c>
      <c r="S108" s="391">
        <f>R108/Q103</f>
        <v>1.0789473684210526E-2</v>
      </c>
    </row>
    <row r="109" spans="1:19" ht="18.75" customHeight="1">
      <c r="A109" s="205" t="s">
        <v>167</v>
      </c>
      <c r="B109" s="519"/>
      <c r="C109" s="66">
        <v>0</v>
      </c>
      <c r="D109" s="296">
        <v>118</v>
      </c>
      <c r="E109" s="296">
        <v>109</v>
      </c>
      <c r="F109" s="295">
        <v>76</v>
      </c>
      <c r="G109" s="101"/>
      <c r="H109" s="101"/>
      <c r="I109" s="101"/>
      <c r="J109" s="101"/>
      <c r="K109" s="101"/>
      <c r="L109" s="101"/>
      <c r="M109" s="101"/>
      <c r="N109" s="257"/>
      <c r="O109" s="257"/>
      <c r="P109" s="525"/>
      <c r="Q109" s="515"/>
      <c r="R109" s="195">
        <f t="shared" si="49"/>
        <v>303</v>
      </c>
      <c r="S109" s="391">
        <f>R109/Q103</f>
        <v>2.6578947368421053E-2</v>
      </c>
    </row>
    <row r="110" spans="1:19" ht="18.75" customHeight="1">
      <c r="A110" s="205" t="s">
        <v>133</v>
      </c>
      <c r="B110" s="519"/>
      <c r="C110" s="66">
        <v>0</v>
      </c>
      <c r="D110" s="296">
        <v>70</v>
      </c>
      <c r="E110" s="296">
        <v>98</v>
      </c>
      <c r="F110" s="295">
        <v>49</v>
      </c>
      <c r="G110" s="101"/>
      <c r="H110" s="101"/>
      <c r="I110" s="101"/>
      <c r="J110" s="101"/>
      <c r="K110" s="101"/>
      <c r="L110" s="101"/>
      <c r="M110" s="101"/>
      <c r="N110" s="257"/>
      <c r="O110" s="257"/>
      <c r="P110" s="525"/>
      <c r="Q110" s="515"/>
      <c r="R110" s="195">
        <f t="shared" si="49"/>
        <v>217</v>
      </c>
      <c r="S110" s="391">
        <f>R110/Q103</f>
        <v>1.9035087719298245E-2</v>
      </c>
    </row>
    <row r="111" spans="1:19" ht="18.75" customHeight="1">
      <c r="A111" s="205" t="s">
        <v>168</v>
      </c>
      <c r="B111" s="519"/>
      <c r="C111" s="66">
        <v>0</v>
      </c>
      <c r="D111" s="296">
        <v>2</v>
      </c>
      <c r="E111" s="296">
        <v>0</v>
      </c>
      <c r="F111" s="295">
        <v>2</v>
      </c>
      <c r="G111" s="101"/>
      <c r="H111" s="101"/>
      <c r="I111" s="101"/>
      <c r="J111" s="101"/>
      <c r="K111" s="101"/>
      <c r="L111" s="101"/>
      <c r="M111" s="101"/>
      <c r="N111" s="257"/>
      <c r="O111" s="257"/>
      <c r="P111" s="525"/>
      <c r="Q111" s="515"/>
      <c r="R111" s="195">
        <f t="shared" si="49"/>
        <v>4</v>
      </c>
      <c r="S111" s="391">
        <f>R111/Q103</f>
        <v>3.5087719298245611E-4</v>
      </c>
    </row>
    <row r="112" spans="1:19" ht="18.75" customHeight="1">
      <c r="A112" s="205" t="s">
        <v>169</v>
      </c>
      <c r="B112" s="519"/>
      <c r="C112" s="66">
        <v>0</v>
      </c>
      <c r="D112" s="296">
        <v>17</v>
      </c>
      <c r="E112" s="296">
        <v>15</v>
      </c>
      <c r="F112" s="295">
        <v>13</v>
      </c>
      <c r="G112" s="101"/>
      <c r="H112" s="101"/>
      <c r="I112" s="101"/>
      <c r="J112" s="101"/>
      <c r="K112" s="101"/>
      <c r="L112" s="101"/>
      <c r="M112" s="101"/>
      <c r="N112" s="257"/>
      <c r="O112" s="257"/>
      <c r="P112" s="525"/>
      <c r="Q112" s="515"/>
      <c r="R112" s="195">
        <f t="shared" si="49"/>
        <v>45</v>
      </c>
      <c r="S112" s="391">
        <f>R112/Q103</f>
        <v>3.9473684210526317E-3</v>
      </c>
    </row>
    <row r="113" spans="1:19" ht="18.75" customHeight="1">
      <c r="A113" s="205" t="s">
        <v>170</v>
      </c>
      <c r="B113" s="519"/>
      <c r="C113" s="66">
        <v>0</v>
      </c>
      <c r="D113" s="296">
        <v>16</v>
      </c>
      <c r="E113" s="296">
        <v>20</v>
      </c>
      <c r="F113" s="295">
        <v>15</v>
      </c>
      <c r="G113" s="101"/>
      <c r="H113" s="101"/>
      <c r="I113" s="101"/>
      <c r="J113" s="101"/>
      <c r="K113" s="101"/>
      <c r="L113" s="101"/>
      <c r="M113" s="101"/>
      <c r="N113" s="257"/>
      <c r="O113" s="257"/>
      <c r="P113" s="525"/>
      <c r="Q113" s="515"/>
      <c r="R113" s="195">
        <f t="shared" si="49"/>
        <v>51</v>
      </c>
      <c r="S113" s="391">
        <f>R113/Q103</f>
        <v>4.4736842105263155E-3</v>
      </c>
    </row>
    <row r="114" spans="1:19" ht="18.75" customHeight="1">
      <c r="A114" s="204" t="s">
        <v>59</v>
      </c>
      <c r="B114" s="520"/>
      <c r="C114" s="66"/>
      <c r="D114" s="66">
        <f>SUM(D103:D113)</f>
        <v>1071</v>
      </c>
      <c r="E114" s="66">
        <f t="shared" ref="E114:F114" si="50">SUM(E103:E113)</f>
        <v>1183</v>
      </c>
      <c r="F114" s="66">
        <f t="shared" si="50"/>
        <v>1452</v>
      </c>
      <c r="G114" s="66">
        <f t="shared" ref="G114:O114" si="51">SUM(G103:G113)</f>
        <v>0</v>
      </c>
      <c r="H114" s="66">
        <f t="shared" si="51"/>
        <v>0</v>
      </c>
      <c r="I114" s="66">
        <f t="shared" si="51"/>
        <v>0</v>
      </c>
      <c r="J114" s="66">
        <f t="shared" si="51"/>
        <v>0</v>
      </c>
      <c r="K114" s="66">
        <f t="shared" si="51"/>
        <v>0</v>
      </c>
      <c r="L114" s="66">
        <f t="shared" si="51"/>
        <v>0</v>
      </c>
      <c r="M114" s="66">
        <f t="shared" si="51"/>
        <v>0</v>
      </c>
      <c r="N114" s="66">
        <f t="shared" si="51"/>
        <v>0</v>
      </c>
      <c r="O114" s="66">
        <f t="shared" si="51"/>
        <v>0</v>
      </c>
      <c r="P114" s="526"/>
      <c r="Q114" s="516"/>
      <c r="R114" s="377">
        <f t="shared" si="49"/>
        <v>3706</v>
      </c>
      <c r="S114" s="74">
        <f>R114/Q103</f>
        <v>0.32508771929824559</v>
      </c>
    </row>
    <row r="115" spans="1:19" ht="13.9" customHeight="1">
      <c r="A115" s="351"/>
      <c r="B115" s="350"/>
      <c r="C115" s="350"/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352"/>
      <c r="Q115" s="352"/>
      <c r="R115" s="353"/>
    </row>
    <row r="116" spans="1:19" ht="15">
      <c r="A116" s="204" t="s">
        <v>297</v>
      </c>
      <c r="B116" s="63" t="s">
        <v>248</v>
      </c>
      <c r="C116" s="64"/>
      <c r="D116" s="65" t="s">
        <v>43</v>
      </c>
      <c r="E116" s="65" t="s">
        <v>44</v>
      </c>
      <c r="F116" s="65" t="s">
        <v>45</v>
      </c>
      <c r="G116" s="65" t="s">
        <v>46</v>
      </c>
      <c r="H116" s="65" t="s">
        <v>47</v>
      </c>
      <c r="I116" s="65" t="s">
        <v>48</v>
      </c>
      <c r="J116" s="65" t="s">
        <v>49</v>
      </c>
      <c r="K116" s="65" t="s">
        <v>50</v>
      </c>
      <c r="L116" s="65" t="s">
        <v>51</v>
      </c>
      <c r="M116" s="65" t="s">
        <v>52</v>
      </c>
      <c r="N116" s="65" t="s">
        <v>53</v>
      </c>
      <c r="O116" s="65" t="s">
        <v>54</v>
      </c>
      <c r="P116" s="63" t="s">
        <v>55</v>
      </c>
      <c r="Q116" s="63" t="s">
        <v>56</v>
      </c>
      <c r="R116" s="112" t="s">
        <v>57</v>
      </c>
    </row>
    <row r="117" spans="1:19" ht="18.75" customHeight="1">
      <c r="A117" s="206" t="s">
        <v>299</v>
      </c>
      <c r="B117" s="66">
        <v>380</v>
      </c>
      <c r="C117" s="66">
        <f t="array" ref="C117">'Síntese '!D58:E58</f>
        <v>0</v>
      </c>
      <c r="D117" s="295">
        <v>0</v>
      </c>
      <c r="E117" s="295">
        <v>0</v>
      </c>
      <c r="F117" s="295">
        <v>0</v>
      </c>
      <c r="G117" s="101"/>
      <c r="H117" s="101"/>
      <c r="I117" s="101"/>
      <c r="J117" s="101"/>
      <c r="K117" s="101"/>
      <c r="L117" s="101"/>
      <c r="M117" s="101"/>
      <c r="N117" s="257"/>
      <c r="O117" s="257"/>
      <c r="P117" s="195">
        <f>B117*12</f>
        <v>4560</v>
      </c>
      <c r="Q117" s="195">
        <f>SUM(D117:O117)</f>
        <v>0</v>
      </c>
      <c r="R117" s="391">
        <f>Q117/P117</f>
        <v>0</v>
      </c>
    </row>
    <row r="118" spans="1:19" ht="18.75" customHeight="1">
      <c r="A118" s="205" t="s">
        <v>300</v>
      </c>
      <c r="B118" s="66">
        <v>95</v>
      </c>
      <c r="C118" s="66">
        <f t="array" ref="C118">'Síntese '!D59:E59</f>
        <v>0</v>
      </c>
      <c r="D118" s="296">
        <v>0</v>
      </c>
      <c r="E118" s="296">
        <v>0</v>
      </c>
      <c r="F118" s="295">
        <v>0</v>
      </c>
      <c r="G118" s="101"/>
      <c r="H118" s="101"/>
      <c r="I118" s="101"/>
      <c r="J118" s="101"/>
      <c r="K118" s="101"/>
      <c r="L118" s="101"/>
      <c r="M118" s="101"/>
      <c r="N118" s="257"/>
      <c r="O118" s="257"/>
      <c r="P118" s="195">
        <f t="shared" ref="P118" si="52">B118*12</f>
        <v>1140</v>
      </c>
      <c r="Q118" s="195">
        <f>SUM(D118:O118)</f>
        <v>0</v>
      </c>
      <c r="R118" s="391">
        <f>Q118/P118</f>
        <v>0</v>
      </c>
    </row>
    <row r="119" spans="1:19" ht="18.75" customHeight="1">
      <c r="A119" s="205" t="s">
        <v>301</v>
      </c>
      <c r="B119" s="66">
        <v>475</v>
      </c>
      <c r="C119" s="66">
        <f t="array" ref="C119">'Síntese '!D60:E60</f>
        <v>0</v>
      </c>
      <c r="D119" s="296">
        <v>1073</v>
      </c>
      <c r="E119" s="296">
        <v>1183</v>
      </c>
      <c r="F119" s="296">
        <v>1452</v>
      </c>
      <c r="G119" s="236"/>
      <c r="H119" s="236"/>
      <c r="I119" s="236"/>
      <c r="J119" s="236"/>
      <c r="K119" s="236"/>
      <c r="L119" s="101"/>
      <c r="M119" s="101"/>
      <c r="N119" s="257"/>
      <c r="O119" s="257"/>
      <c r="P119" s="195">
        <f>B119*12</f>
        <v>5700</v>
      </c>
      <c r="Q119" s="195">
        <f>SUM(D119:O119)</f>
        <v>3708</v>
      </c>
      <c r="R119" s="391">
        <f>Q119/P119</f>
        <v>0.65052631578947373</v>
      </c>
    </row>
    <row r="120" spans="1:19" ht="18.75" customHeight="1">
      <c r="A120" s="208" t="s">
        <v>59</v>
      </c>
      <c r="B120" s="66">
        <f>SUM(B117:B119)</f>
        <v>950</v>
      </c>
      <c r="C120" s="66"/>
      <c r="D120" s="66">
        <f>SUM(D117:D119)</f>
        <v>1073</v>
      </c>
      <c r="E120" s="66">
        <f t="shared" ref="E120:K120" si="53">SUM(E117:E119)</f>
        <v>1183</v>
      </c>
      <c r="F120" s="66">
        <f t="shared" si="53"/>
        <v>1452</v>
      </c>
      <c r="G120" s="66">
        <f t="shared" si="53"/>
        <v>0</v>
      </c>
      <c r="H120" s="66">
        <f t="shared" si="53"/>
        <v>0</v>
      </c>
      <c r="I120" s="66">
        <f t="shared" si="53"/>
        <v>0</v>
      </c>
      <c r="J120" s="66">
        <f t="shared" si="53"/>
        <v>0</v>
      </c>
      <c r="K120" s="66">
        <f t="shared" si="53"/>
        <v>0</v>
      </c>
      <c r="L120" s="66">
        <f t="shared" ref="L120:O120" si="54">SUM(L117:L119)</f>
        <v>0</v>
      </c>
      <c r="M120" s="66">
        <f t="shared" si="54"/>
        <v>0</v>
      </c>
      <c r="N120" s="66">
        <f t="shared" si="54"/>
        <v>0</v>
      </c>
      <c r="O120" s="66">
        <f t="shared" si="54"/>
        <v>0</v>
      </c>
      <c r="P120" s="376">
        <f>B120*12</f>
        <v>11400</v>
      </c>
      <c r="Q120" s="376">
        <f>SUM(D120:O120)</f>
        <v>3708</v>
      </c>
      <c r="R120" s="396">
        <f>Q120/P120</f>
        <v>0.32526315789473687</v>
      </c>
    </row>
    <row r="121" spans="1:19" ht="18.75" customHeight="1">
      <c r="A121" s="351"/>
      <c r="B121" s="350"/>
      <c r="C121" s="350"/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352"/>
      <c r="Q121" s="352"/>
      <c r="R121" s="353"/>
    </row>
    <row r="122" spans="1:19" ht="37.9" customHeight="1">
      <c r="A122" s="204" t="s">
        <v>253</v>
      </c>
      <c r="B122" s="63" t="s">
        <v>248</v>
      </c>
      <c r="C122" s="64"/>
      <c r="D122" s="65" t="s">
        <v>43</v>
      </c>
      <c r="E122" s="65" t="s">
        <v>44</v>
      </c>
      <c r="F122" s="65" t="s">
        <v>45</v>
      </c>
      <c r="G122" s="65" t="s">
        <v>46</v>
      </c>
      <c r="H122" s="65" t="s">
        <v>47</v>
      </c>
      <c r="I122" s="65" t="s">
        <v>48</v>
      </c>
      <c r="J122" s="65" t="s">
        <v>49</v>
      </c>
      <c r="K122" s="65" t="s">
        <v>50</v>
      </c>
      <c r="L122" s="65" t="s">
        <v>51</v>
      </c>
      <c r="M122" s="65" t="s">
        <v>52</v>
      </c>
      <c r="N122" s="65" t="s">
        <v>53</v>
      </c>
      <c r="O122" s="65" t="s">
        <v>54</v>
      </c>
      <c r="P122" s="112" t="s">
        <v>317</v>
      </c>
      <c r="Q122" s="397" t="s">
        <v>55</v>
      </c>
      <c r="R122" s="397" t="s">
        <v>56</v>
      </c>
      <c r="S122" s="112" t="s">
        <v>315</v>
      </c>
    </row>
    <row r="123" spans="1:19" ht="18" customHeight="1">
      <c r="A123" s="205" t="s">
        <v>171</v>
      </c>
      <c r="B123" s="521">
        <v>180</v>
      </c>
      <c r="C123" s="64"/>
      <c r="D123" s="295">
        <v>163</v>
      </c>
      <c r="E123" s="295">
        <v>160</v>
      </c>
      <c r="F123" s="295">
        <v>185</v>
      </c>
      <c r="G123" s="101"/>
      <c r="H123" s="101"/>
      <c r="I123" s="101"/>
      <c r="J123" s="101"/>
      <c r="K123" s="101"/>
      <c r="L123" s="101"/>
      <c r="M123" s="101"/>
      <c r="N123" s="257"/>
      <c r="O123" s="257"/>
      <c r="P123" s="527">
        <f>F125/B123</f>
        <v>1.0777777777777777</v>
      </c>
      <c r="Q123" s="533">
        <f>B123*12</f>
        <v>2160</v>
      </c>
      <c r="R123" s="380">
        <f>SUM(D123:O123)</f>
        <v>508</v>
      </c>
      <c r="S123" s="398">
        <f>R123/Q123</f>
        <v>0.23518518518518519</v>
      </c>
    </row>
    <row r="124" spans="1:19" ht="18" customHeight="1">
      <c r="A124" s="205" t="s">
        <v>172</v>
      </c>
      <c r="B124" s="522"/>
      <c r="C124" s="64"/>
      <c r="D124" s="295">
        <v>23</v>
      </c>
      <c r="E124" s="295">
        <v>18</v>
      </c>
      <c r="F124" s="295">
        <v>9</v>
      </c>
      <c r="G124" s="101"/>
      <c r="H124" s="101"/>
      <c r="I124" s="101"/>
      <c r="J124" s="101"/>
      <c r="K124" s="101"/>
      <c r="L124" s="101"/>
      <c r="M124" s="101"/>
      <c r="N124" s="257"/>
      <c r="O124" s="257"/>
      <c r="P124" s="528"/>
      <c r="Q124" s="534"/>
      <c r="R124" s="380">
        <f>SUM(D124:O124)</f>
        <v>50</v>
      </c>
      <c r="S124" s="398">
        <f>R124/Q123</f>
        <v>2.3148148148148147E-2</v>
      </c>
    </row>
    <row r="125" spans="1:19" ht="18" customHeight="1">
      <c r="A125" s="204" t="s">
        <v>59</v>
      </c>
      <c r="B125" s="523"/>
      <c r="C125" s="64"/>
      <c r="D125" s="105">
        <f>SUM(D123:D124)</f>
        <v>186</v>
      </c>
      <c r="E125" s="105">
        <f t="shared" ref="E125:F125" si="55">SUM(E123:E124)</f>
        <v>178</v>
      </c>
      <c r="F125" s="105">
        <f t="shared" si="55"/>
        <v>194</v>
      </c>
      <c r="G125" s="105">
        <f t="shared" ref="G125:O125" si="56">SUM(G123:G124)</f>
        <v>0</v>
      </c>
      <c r="H125" s="105">
        <f>SUM(H123:H124)</f>
        <v>0</v>
      </c>
      <c r="I125" s="105">
        <f t="shared" si="56"/>
        <v>0</v>
      </c>
      <c r="J125" s="105">
        <f t="shared" si="56"/>
        <v>0</v>
      </c>
      <c r="K125" s="105">
        <f t="shared" si="56"/>
        <v>0</v>
      </c>
      <c r="L125" s="105">
        <f t="shared" si="56"/>
        <v>0</v>
      </c>
      <c r="M125" s="105">
        <f t="shared" si="56"/>
        <v>0</v>
      </c>
      <c r="N125" s="105">
        <f t="shared" si="56"/>
        <v>0</v>
      </c>
      <c r="O125" s="105">
        <f t="shared" si="56"/>
        <v>0</v>
      </c>
      <c r="P125" s="529"/>
      <c r="Q125" s="535"/>
      <c r="R125" s="381">
        <f>SUM(D125:O125)</f>
        <v>558</v>
      </c>
      <c r="S125" s="399">
        <f>R125/Q123</f>
        <v>0.25833333333333336</v>
      </c>
    </row>
    <row r="126" spans="1:19" ht="18.75" customHeight="1">
      <c r="A126" s="351"/>
      <c r="B126" s="350"/>
      <c r="C126" s="350"/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2"/>
      <c r="Q126" s="352"/>
      <c r="R126" s="353"/>
    </row>
    <row r="127" spans="1:19" ht="39" customHeight="1">
      <c r="A127" s="65" t="s">
        <v>63</v>
      </c>
      <c r="B127" s="63" t="s">
        <v>248</v>
      </c>
      <c r="C127" s="65"/>
      <c r="D127" s="65" t="s">
        <v>43</v>
      </c>
      <c r="E127" s="65" t="s">
        <v>44</v>
      </c>
      <c r="F127" s="65" t="s">
        <v>45</v>
      </c>
      <c r="G127" s="65" t="s">
        <v>46</v>
      </c>
      <c r="H127" s="65" t="s">
        <v>47</v>
      </c>
      <c r="I127" s="65" t="s">
        <v>48</v>
      </c>
      <c r="J127" s="65" t="s">
        <v>49</v>
      </c>
      <c r="K127" s="65" t="s">
        <v>50</v>
      </c>
      <c r="L127" s="65" t="s">
        <v>51</v>
      </c>
      <c r="M127" s="65" t="s">
        <v>52</v>
      </c>
      <c r="N127" s="65" t="s">
        <v>53</v>
      </c>
      <c r="O127" s="65" t="s">
        <v>54</v>
      </c>
      <c r="P127" s="112" t="s">
        <v>317</v>
      </c>
      <c r="Q127" s="63" t="s">
        <v>55</v>
      </c>
      <c r="R127" s="63" t="s">
        <v>56</v>
      </c>
      <c r="S127" s="112" t="s">
        <v>57</v>
      </c>
    </row>
    <row r="128" spans="1:19" ht="25.9" customHeight="1">
      <c r="A128" s="203" t="s">
        <v>17</v>
      </c>
      <c r="B128" s="63">
        <v>80</v>
      </c>
      <c r="C128" s="63"/>
      <c r="D128" s="293">
        <v>80</v>
      </c>
      <c r="E128" s="293">
        <v>80</v>
      </c>
      <c r="F128" s="293">
        <v>80</v>
      </c>
      <c r="G128" s="67"/>
      <c r="H128" s="67"/>
      <c r="I128" s="67"/>
      <c r="J128" s="67"/>
      <c r="K128" s="67"/>
      <c r="L128" s="67"/>
      <c r="M128" s="67"/>
      <c r="N128" s="255"/>
      <c r="O128" s="255"/>
      <c r="P128" s="111">
        <f t="shared" ref="P128:P136" si="57">F128/B128</f>
        <v>1</v>
      </c>
      <c r="Q128" s="195">
        <f>B128*12</f>
        <v>960</v>
      </c>
      <c r="R128" s="195">
        <f t="shared" ref="R128:R136" si="58">SUM(D128:O128)</f>
        <v>240</v>
      </c>
      <c r="S128" s="391">
        <f>R128/Q128</f>
        <v>0.25</v>
      </c>
    </row>
    <row r="129" spans="1:19" ht="25.9" customHeight="1">
      <c r="A129" s="203" t="s">
        <v>18</v>
      </c>
      <c r="B129" s="65">
        <v>45</v>
      </c>
      <c r="C129" s="65"/>
      <c r="D129" s="293">
        <v>55</v>
      </c>
      <c r="E129" s="293">
        <v>55</v>
      </c>
      <c r="F129" s="293">
        <v>45</v>
      </c>
      <c r="G129" s="67"/>
      <c r="H129" s="67"/>
      <c r="I129" s="67"/>
      <c r="J129" s="67"/>
      <c r="K129" s="67"/>
      <c r="L129" s="67"/>
      <c r="M129" s="67"/>
      <c r="N129" s="255"/>
      <c r="O129" s="255"/>
      <c r="P129" s="111">
        <f t="shared" si="57"/>
        <v>1</v>
      </c>
      <c r="Q129" s="195">
        <f t="shared" ref="Q129:Q136" si="59">B129*12</f>
        <v>540</v>
      </c>
      <c r="R129" s="195">
        <f t="shared" si="58"/>
        <v>155</v>
      </c>
      <c r="S129" s="391">
        <f>R129/Q129</f>
        <v>0.28703703703703703</v>
      </c>
    </row>
    <row r="130" spans="1:19" ht="25.9" customHeight="1">
      <c r="A130" s="203" t="s">
        <v>64</v>
      </c>
      <c r="B130" s="65">
        <v>10</v>
      </c>
      <c r="C130" s="65"/>
      <c r="D130" s="293">
        <v>10</v>
      </c>
      <c r="E130" s="293">
        <v>10</v>
      </c>
      <c r="F130" s="293">
        <v>12</v>
      </c>
      <c r="G130" s="67"/>
      <c r="H130" s="67"/>
      <c r="I130" s="67"/>
      <c r="J130" s="67"/>
      <c r="K130" s="67"/>
      <c r="L130" s="67"/>
      <c r="M130" s="67"/>
      <c r="N130" s="255"/>
      <c r="O130" s="255"/>
      <c r="P130" s="111">
        <f t="shared" si="57"/>
        <v>1.2</v>
      </c>
      <c r="Q130" s="195">
        <f t="shared" si="59"/>
        <v>120</v>
      </c>
      <c r="R130" s="195">
        <f t="shared" si="58"/>
        <v>32</v>
      </c>
      <c r="S130" s="391">
        <f t="shared" ref="S130:S135" si="60">R130/Q130</f>
        <v>0.26666666666666666</v>
      </c>
    </row>
    <row r="131" spans="1:19" ht="25.9" customHeight="1">
      <c r="A131" s="203" t="s">
        <v>19</v>
      </c>
      <c r="B131" s="65">
        <v>70</v>
      </c>
      <c r="C131" s="65"/>
      <c r="D131" s="293">
        <v>70</v>
      </c>
      <c r="E131" s="293">
        <v>70</v>
      </c>
      <c r="F131" s="293">
        <v>70</v>
      </c>
      <c r="G131" s="67"/>
      <c r="H131" s="67"/>
      <c r="I131" s="67"/>
      <c r="J131" s="67"/>
      <c r="K131" s="67"/>
      <c r="L131" s="67"/>
      <c r="M131" s="67"/>
      <c r="N131" s="255"/>
      <c r="O131" s="255"/>
      <c r="P131" s="111">
        <f t="shared" si="57"/>
        <v>1</v>
      </c>
      <c r="Q131" s="195">
        <f t="shared" si="59"/>
        <v>840</v>
      </c>
      <c r="R131" s="195">
        <f t="shared" si="58"/>
        <v>210</v>
      </c>
      <c r="S131" s="391">
        <f t="shared" si="60"/>
        <v>0.25</v>
      </c>
    </row>
    <row r="132" spans="1:19" ht="25.9" customHeight="1">
      <c r="A132" s="203" t="s">
        <v>20</v>
      </c>
      <c r="B132" s="65">
        <v>10</v>
      </c>
      <c r="C132" s="65"/>
      <c r="D132" s="293">
        <v>10</v>
      </c>
      <c r="E132" s="293">
        <v>10</v>
      </c>
      <c r="F132" s="293">
        <v>10</v>
      </c>
      <c r="G132" s="67"/>
      <c r="H132" s="67"/>
      <c r="I132" s="67"/>
      <c r="J132" s="67"/>
      <c r="K132" s="67"/>
      <c r="L132" s="67"/>
      <c r="M132" s="67"/>
      <c r="N132" s="255"/>
      <c r="O132" s="255"/>
      <c r="P132" s="111">
        <f t="shared" si="57"/>
        <v>1</v>
      </c>
      <c r="Q132" s="195">
        <f t="shared" si="59"/>
        <v>120</v>
      </c>
      <c r="R132" s="195">
        <f t="shared" si="58"/>
        <v>30</v>
      </c>
      <c r="S132" s="391">
        <f t="shared" si="60"/>
        <v>0.25</v>
      </c>
    </row>
    <row r="133" spans="1:19" ht="25.9" customHeight="1">
      <c r="A133" s="203" t="s">
        <v>65</v>
      </c>
      <c r="B133" s="65">
        <v>200</v>
      </c>
      <c r="C133" s="65"/>
      <c r="D133" s="293">
        <v>200</v>
      </c>
      <c r="E133" s="293">
        <v>200</v>
      </c>
      <c r="F133" s="293">
        <v>200</v>
      </c>
      <c r="G133" s="67"/>
      <c r="H133" s="67"/>
      <c r="I133" s="67"/>
      <c r="J133" s="67"/>
      <c r="K133" s="67"/>
      <c r="L133" s="67"/>
      <c r="M133" s="67"/>
      <c r="N133" s="255"/>
      <c r="O133" s="255"/>
      <c r="P133" s="111">
        <f t="shared" si="57"/>
        <v>1</v>
      </c>
      <c r="Q133" s="195">
        <f t="shared" si="59"/>
        <v>2400</v>
      </c>
      <c r="R133" s="195">
        <f t="shared" si="58"/>
        <v>600</v>
      </c>
      <c r="S133" s="391">
        <f t="shared" si="60"/>
        <v>0.25</v>
      </c>
    </row>
    <row r="134" spans="1:19" ht="25.9" customHeight="1">
      <c r="A134" s="203" t="s">
        <v>66</v>
      </c>
      <c r="B134" s="65">
        <v>80</v>
      </c>
      <c r="C134" s="65"/>
      <c r="D134" s="293">
        <v>80</v>
      </c>
      <c r="E134" s="293">
        <v>80</v>
      </c>
      <c r="F134" s="293">
        <v>80</v>
      </c>
      <c r="G134" s="67"/>
      <c r="H134" s="67"/>
      <c r="I134" s="67"/>
      <c r="J134" s="67"/>
      <c r="K134" s="67"/>
      <c r="L134" s="67"/>
      <c r="M134" s="67"/>
      <c r="N134" s="255"/>
      <c r="O134" s="255"/>
      <c r="P134" s="111">
        <f t="shared" si="57"/>
        <v>1</v>
      </c>
      <c r="Q134" s="195">
        <f t="shared" si="59"/>
        <v>960</v>
      </c>
      <c r="R134" s="195">
        <f t="shared" si="58"/>
        <v>240</v>
      </c>
      <c r="S134" s="391">
        <f t="shared" si="60"/>
        <v>0.25</v>
      </c>
    </row>
    <row r="135" spans="1:19" ht="25.9" customHeight="1">
      <c r="A135" s="203" t="s">
        <v>21</v>
      </c>
      <c r="B135" s="65">
        <v>300</v>
      </c>
      <c r="C135" s="65"/>
      <c r="D135" s="293">
        <v>300</v>
      </c>
      <c r="E135" s="293">
        <v>300</v>
      </c>
      <c r="F135" s="293">
        <v>300</v>
      </c>
      <c r="G135" s="67"/>
      <c r="H135" s="67"/>
      <c r="I135" s="67"/>
      <c r="J135" s="67"/>
      <c r="K135" s="67"/>
      <c r="L135" s="67"/>
      <c r="M135" s="67"/>
      <c r="N135" s="255"/>
      <c r="O135" s="255"/>
      <c r="P135" s="111">
        <f t="shared" si="57"/>
        <v>1</v>
      </c>
      <c r="Q135" s="195">
        <f t="shared" si="59"/>
        <v>3600</v>
      </c>
      <c r="R135" s="195">
        <f t="shared" si="58"/>
        <v>900</v>
      </c>
      <c r="S135" s="391">
        <f t="shared" si="60"/>
        <v>0.25</v>
      </c>
    </row>
    <row r="136" spans="1:19" ht="25.9" customHeight="1">
      <c r="A136" s="65" t="s">
        <v>59</v>
      </c>
      <c r="B136" s="75">
        <f t="shared" ref="B136:O136" si="61">SUM(B128:B135)</f>
        <v>795</v>
      </c>
      <c r="C136" s="75"/>
      <c r="D136" s="75">
        <f>SUM(D128:D135)</f>
        <v>805</v>
      </c>
      <c r="E136" s="75">
        <f t="shared" si="61"/>
        <v>805</v>
      </c>
      <c r="F136" s="75">
        <f t="shared" si="61"/>
        <v>797</v>
      </c>
      <c r="G136" s="75">
        <f t="shared" si="61"/>
        <v>0</v>
      </c>
      <c r="H136" s="75">
        <f t="shared" si="61"/>
        <v>0</v>
      </c>
      <c r="I136" s="75">
        <f t="shared" si="61"/>
        <v>0</v>
      </c>
      <c r="J136" s="75">
        <f t="shared" si="61"/>
        <v>0</v>
      </c>
      <c r="K136" s="75">
        <f t="shared" si="61"/>
        <v>0</v>
      </c>
      <c r="L136" s="75">
        <f t="shared" si="61"/>
        <v>0</v>
      </c>
      <c r="M136" s="75">
        <f t="shared" si="61"/>
        <v>0</v>
      </c>
      <c r="N136" s="75">
        <f t="shared" si="61"/>
        <v>0</v>
      </c>
      <c r="O136" s="75">
        <f t="shared" si="61"/>
        <v>0</v>
      </c>
      <c r="P136" s="111">
        <f t="shared" si="57"/>
        <v>1.0025157232704403</v>
      </c>
      <c r="Q136" s="68">
        <f t="shared" si="59"/>
        <v>9540</v>
      </c>
      <c r="R136" s="376">
        <f t="shared" si="58"/>
        <v>2407</v>
      </c>
      <c r="S136" s="74">
        <f>R136/Q136</f>
        <v>0.25230607966457025</v>
      </c>
    </row>
    <row r="137" spans="1:19" ht="18" customHeight="1">
      <c r="A137" s="342"/>
      <c r="B137" s="343"/>
      <c r="C137" s="343"/>
      <c r="D137" s="344"/>
      <c r="E137" s="344"/>
      <c r="F137" s="344"/>
      <c r="G137" s="344"/>
      <c r="H137" s="344"/>
      <c r="I137" s="344"/>
      <c r="J137" s="344"/>
      <c r="K137" s="344"/>
      <c r="L137" s="344"/>
      <c r="M137" s="344"/>
      <c r="N137" s="344"/>
      <c r="O137" s="344"/>
      <c r="P137" s="345"/>
      <c r="Q137" s="346"/>
      <c r="R137" s="347"/>
    </row>
    <row r="138" spans="1:19" ht="45" customHeight="1">
      <c r="A138" s="65" t="s">
        <v>67</v>
      </c>
      <c r="B138" s="63" t="s">
        <v>248</v>
      </c>
      <c r="C138" s="65"/>
      <c r="D138" s="65" t="s">
        <v>43</v>
      </c>
      <c r="E138" s="65" t="s">
        <v>44</v>
      </c>
      <c r="F138" s="65" t="s">
        <v>45</v>
      </c>
      <c r="G138" s="65" t="s">
        <v>46</v>
      </c>
      <c r="H138" s="65" t="s">
        <v>47</v>
      </c>
      <c r="I138" s="65" t="s">
        <v>48</v>
      </c>
      <c r="J138" s="65" t="s">
        <v>49</v>
      </c>
      <c r="K138" s="65" t="s">
        <v>50</v>
      </c>
      <c r="L138" s="65" t="s">
        <v>51</v>
      </c>
      <c r="M138" s="65" t="s">
        <v>52</v>
      </c>
      <c r="N138" s="65" t="s">
        <v>53</v>
      </c>
      <c r="O138" s="65" t="s">
        <v>54</v>
      </c>
      <c r="P138" s="112" t="s">
        <v>317</v>
      </c>
      <c r="Q138" s="63" t="s">
        <v>55</v>
      </c>
      <c r="R138" s="63" t="s">
        <v>56</v>
      </c>
      <c r="S138" s="112" t="s">
        <v>57</v>
      </c>
    </row>
    <row r="139" spans="1:19" ht="25.9" customHeight="1">
      <c r="A139" s="203" t="s">
        <v>17</v>
      </c>
      <c r="B139" s="63">
        <v>80</v>
      </c>
      <c r="C139" s="63"/>
      <c r="D139" s="296">
        <v>79</v>
      </c>
      <c r="E139" s="296">
        <v>80</v>
      </c>
      <c r="F139" s="293">
        <v>72</v>
      </c>
      <c r="G139" s="67"/>
      <c r="H139" s="67"/>
      <c r="I139" s="67"/>
      <c r="J139" s="67"/>
      <c r="K139" s="67"/>
      <c r="L139" s="67"/>
      <c r="M139" s="67"/>
      <c r="N139" s="255"/>
      <c r="O139" s="255"/>
      <c r="P139" s="111">
        <f t="shared" ref="P139:P147" si="62">F139/B139</f>
        <v>0.9</v>
      </c>
      <c r="Q139" s="195">
        <f t="shared" ref="Q139:Q147" si="63">B139*12</f>
        <v>960</v>
      </c>
      <c r="R139" s="195">
        <f t="shared" ref="R139:R147" si="64">SUM(D139:O139)</f>
        <v>231</v>
      </c>
      <c r="S139" s="391">
        <f t="shared" ref="S139:S147" si="65">R139/Q139</f>
        <v>0.24062500000000001</v>
      </c>
    </row>
    <row r="140" spans="1:19" ht="25.9" customHeight="1">
      <c r="A140" s="203" t="s">
        <v>18</v>
      </c>
      <c r="B140" s="65">
        <v>45</v>
      </c>
      <c r="C140" s="65"/>
      <c r="D140" s="296">
        <v>45</v>
      </c>
      <c r="E140" s="296">
        <v>45</v>
      </c>
      <c r="F140" s="293">
        <v>45</v>
      </c>
      <c r="G140" s="67"/>
      <c r="H140" s="67"/>
      <c r="I140" s="67"/>
      <c r="J140" s="67"/>
      <c r="K140" s="67"/>
      <c r="L140" s="67"/>
      <c r="M140" s="67"/>
      <c r="N140" s="255"/>
      <c r="O140" s="255"/>
      <c r="P140" s="111">
        <f t="shared" si="62"/>
        <v>1</v>
      </c>
      <c r="Q140" s="195">
        <f t="shared" si="63"/>
        <v>540</v>
      </c>
      <c r="R140" s="195">
        <f t="shared" si="64"/>
        <v>135</v>
      </c>
      <c r="S140" s="391">
        <f t="shared" si="65"/>
        <v>0.25</v>
      </c>
    </row>
    <row r="141" spans="1:19" ht="25.9" customHeight="1">
      <c r="A141" s="203" t="s">
        <v>64</v>
      </c>
      <c r="B141" s="65">
        <v>10</v>
      </c>
      <c r="C141" s="65"/>
      <c r="D141" s="296">
        <v>8</v>
      </c>
      <c r="E141" s="296">
        <v>10</v>
      </c>
      <c r="F141" s="293">
        <v>13</v>
      </c>
      <c r="G141" s="67"/>
      <c r="H141" s="67"/>
      <c r="I141" s="67"/>
      <c r="J141" s="67"/>
      <c r="K141" s="67"/>
      <c r="L141" s="67"/>
      <c r="M141" s="67"/>
      <c r="N141" s="255"/>
      <c r="O141" s="255"/>
      <c r="P141" s="111">
        <f t="shared" si="62"/>
        <v>1.3</v>
      </c>
      <c r="Q141" s="195">
        <f t="shared" si="63"/>
        <v>120</v>
      </c>
      <c r="R141" s="195">
        <f t="shared" si="64"/>
        <v>31</v>
      </c>
      <c r="S141" s="391">
        <f t="shared" si="65"/>
        <v>0.25833333333333336</v>
      </c>
    </row>
    <row r="142" spans="1:19" ht="25.9" customHeight="1">
      <c r="A142" s="203" t="s">
        <v>19</v>
      </c>
      <c r="B142" s="65">
        <v>70</v>
      </c>
      <c r="C142" s="65"/>
      <c r="D142" s="296">
        <v>67</v>
      </c>
      <c r="E142" s="296">
        <v>70</v>
      </c>
      <c r="F142" s="293">
        <v>64</v>
      </c>
      <c r="G142" s="67"/>
      <c r="H142" s="67"/>
      <c r="I142" s="67"/>
      <c r="J142" s="67"/>
      <c r="K142" s="67"/>
      <c r="L142" s="67"/>
      <c r="M142" s="67"/>
      <c r="N142" s="255"/>
      <c r="O142" s="255"/>
      <c r="P142" s="111">
        <f t="shared" si="62"/>
        <v>0.91428571428571426</v>
      </c>
      <c r="Q142" s="195">
        <f t="shared" si="63"/>
        <v>840</v>
      </c>
      <c r="R142" s="195">
        <f t="shared" si="64"/>
        <v>201</v>
      </c>
      <c r="S142" s="391">
        <f t="shared" si="65"/>
        <v>0.2392857142857143</v>
      </c>
    </row>
    <row r="143" spans="1:19" ht="25.9" customHeight="1">
      <c r="A143" s="203" t="s">
        <v>20</v>
      </c>
      <c r="B143" s="65">
        <v>10</v>
      </c>
      <c r="C143" s="65"/>
      <c r="D143" s="296">
        <v>21</v>
      </c>
      <c r="E143" s="296">
        <v>10</v>
      </c>
      <c r="F143" s="293">
        <v>16</v>
      </c>
      <c r="G143" s="67"/>
      <c r="H143" s="67"/>
      <c r="I143" s="67"/>
      <c r="J143" s="67"/>
      <c r="K143" s="67"/>
      <c r="L143" s="67"/>
      <c r="M143" s="67"/>
      <c r="N143" s="255"/>
      <c r="O143" s="255"/>
      <c r="P143" s="111">
        <f t="shared" si="62"/>
        <v>1.6</v>
      </c>
      <c r="Q143" s="195">
        <f t="shared" si="63"/>
        <v>120</v>
      </c>
      <c r="R143" s="195">
        <f t="shared" si="64"/>
        <v>47</v>
      </c>
      <c r="S143" s="391">
        <f t="shared" si="65"/>
        <v>0.39166666666666666</v>
      </c>
    </row>
    <row r="144" spans="1:19" ht="25.9" customHeight="1">
      <c r="A144" s="203" t="s">
        <v>65</v>
      </c>
      <c r="B144" s="65">
        <v>200</v>
      </c>
      <c r="C144" s="65"/>
      <c r="D144" s="296">
        <v>223</v>
      </c>
      <c r="E144" s="296">
        <v>195</v>
      </c>
      <c r="F144" s="293">
        <v>167</v>
      </c>
      <c r="G144" s="67"/>
      <c r="H144" s="67"/>
      <c r="I144" s="67"/>
      <c r="J144" s="67"/>
      <c r="K144" s="67"/>
      <c r="L144" s="67"/>
      <c r="M144" s="67"/>
      <c r="N144" s="255"/>
      <c r="O144" s="255"/>
      <c r="P144" s="111">
        <f t="shared" si="62"/>
        <v>0.83499999999999996</v>
      </c>
      <c r="Q144" s="195">
        <f t="shared" si="63"/>
        <v>2400</v>
      </c>
      <c r="R144" s="195">
        <f t="shared" si="64"/>
        <v>585</v>
      </c>
      <c r="S144" s="391">
        <f t="shared" si="65"/>
        <v>0.24374999999999999</v>
      </c>
    </row>
    <row r="145" spans="1:19" ht="25.9" customHeight="1">
      <c r="A145" s="203" t="s">
        <v>66</v>
      </c>
      <c r="B145" s="65">
        <v>80</v>
      </c>
      <c r="C145" s="65"/>
      <c r="D145" s="296">
        <v>80</v>
      </c>
      <c r="E145" s="296">
        <v>76</v>
      </c>
      <c r="F145" s="293">
        <v>78</v>
      </c>
      <c r="G145" s="67"/>
      <c r="H145" s="67"/>
      <c r="I145" s="67"/>
      <c r="J145" s="67"/>
      <c r="K145" s="67"/>
      <c r="L145" s="67"/>
      <c r="M145" s="67"/>
      <c r="N145" s="255"/>
      <c r="O145" s="255"/>
      <c r="P145" s="111">
        <f t="shared" si="62"/>
        <v>0.97499999999999998</v>
      </c>
      <c r="Q145" s="195">
        <f t="shared" si="63"/>
        <v>960</v>
      </c>
      <c r="R145" s="195">
        <f t="shared" si="64"/>
        <v>234</v>
      </c>
      <c r="S145" s="391">
        <f t="shared" si="65"/>
        <v>0.24374999999999999</v>
      </c>
    </row>
    <row r="146" spans="1:19" ht="25.9" customHeight="1">
      <c r="A146" s="203" t="s">
        <v>21</v>
      </c>
      <c r="B146" s="65">
        <v>300</v>
      </c>
      <c r="C146" s="65"/>
      <c r="D146" s="296">
        <v>303</v>
      </c>
      <c r="E146" s="296">
        <v>295</v>
      </c>
      <c r="F146" s="293">
        <v>256</v>
      </c>
      <c r="G146" s="67"/>
      <c r="H146" s="67"/>
      <c r="I146" s="67"/>
      <c r="J146" s="67"/>
      <c r="K146" s="67"/>
      <c r="L146" s="67"/>
      <c r="M146" s="67"/>
      <c r="N146" s="255"/>
      <c r="O146" s="255"/>
      <c r="P146" s="111">
        <f t="shared" si="62"/>
        <v>0.85333333333333339</v>
      </c>
      <c r="Q146" s="195">
        <f t="shared" si="63"/>
        <v>3600</v>
      </c>
      <c r="R146" s="195">
        <f t="shared" si="64"/>
        <v>854</v>
      </c>
      <c r="S146" s="391">
        <f t="shared" si="65"/>
        <v>0.23722222222222222</v>
      </c>
    </row>
    <row r="147" spans="1:19" ht="25.9" customHeight="1">
      <c r="A147" s="65" t="s">
        <v>59</v>
      </c>
      <c r="B147" s="75">
        <f t="shared" ref="B147:O147" si="66">SUM(B139:B146)</f>
        <v>795</v>
      </c>
      <c r="C147" s="75"/>
      <c r="D147" s="75">
        <f t="shared" si="66"/>
        <v>826</v>
      </c>
      <c r="E147" s="75">
        <f t="shared" si="66"/>
        <v>781</v>
      </c>
      <c r="F147" s="75">
        <f t="shared" si="66"/>
        <v>711</v>
      </c>
      <c r="G147" s="75">
        <f t="shared" si="66"/>
        <v>0</v>
      </c>
      <c r="H147" s="75">
        <f t="shared" si="66"/>
        <v>0</v>
      </c>
      <c r="I147" s="75">
        <f t="shared" si="66"/>
        <v>0</v>
      </c>
      <c r="J147" s="75">
        <f t="shared" si="66"/>
        <v>0</v>
      </c>
      <c r="K147" s="75">
        <f t="shared" si="66"/>
        <v>0</v>
      </c>
      <c r="L147" s="75">
        <f t="shared" si="66"/>
        <v>0</v>
      </c>
      <c r="M147" s="75">
        <f t="shared" si="66"/>
        <v>0</v>
      </c>
      <c r="N147" s="75">
        <f t="shared" si="66"/>
        <v>0</v>
      </c>
      <c r="O147" s="75">
        <f t="shared" si="66"/>
        <v>0</v>
      </c>
      <c r="P147" s="402">
        <f t="shared" si="62"/>
        <v>0.89433962264150946</v>
      </c>
      <c r="Q147" s="376">
        <f t="shared" si="63"/>
        <v>9540</v>
      </c>
      <c r="R147" s="376">
        <f t="shared" si="64"/>
        <v>2318</v>
      </c>
      <c r="S147" s="396">
        <f t="shared" si="65"/>
        <v>0.24297693920335431</v>
      </c>
    </row>
    <row r="148" spans="1:19" ht="14.45" customHeight="1">
      <c r="A148" s="104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</row>
    <row r="149" spans="1:19" ht="18">
      <c r="A149" s="505" t="s">
        <v>74</v>
      </c>
      <c r="B149" s="506"/>
      <c r="C149" s="506"/>
      <c r="D149" s="506"/>
      <c r="E149" s="506"/>
      <c r="F149" s="506"/>
      <c r="G149" s="506"/>
      <c r="H149" s="506"/>
      <c r="I149" s="506"/>
      <c r="J149" s="506"/>
      <c r="K149" s="506"/>
      <c r="L149" s="506"/>
      <c r="M149" s="506"/>
      <c r="N149" s="506"/>
      <c r="O149" s="506"/>
      <c r="P149" s="506"/>
      <c r="Q149" s="506"/>
      <c r="R149" s="506"/>
      <c r="S149" s="506"/>
    </row>
    <row r="150" spans="1:19" ht="14.45" customHeight="1">
      <c r="A150" s="104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</row>
    <row r="151" spans="1:19" ht="43.9" customHeight="1">
      <c r="A151" s="63" t="s">
        <v>271</v>
      </c>
      <c r="B151" s="63" t="s">
        <v>248</v>
      </c>
      <c r="C151" s="64"/>
      <c r="D151" s="65" t="s">
        <v>43</v>
      </c>
      <c r="E151" s="65" t="s">
        <v>44</v>
      </c>
      <c r="F151" s="65" t="s">
        <v>45</v>
      </c>
      <c r="G151" s="65" t="s">
        <v>46</v>
      </c>
      <c r="H151" s="65" t="s">
        <v>47</v>
      </c>
      <c r="I151" s="65" t="s">
        <v>48</v>
      </c>
      <c r="J151" s="65" t="s">
        <v>49</v>
      </c>
      <c r="K151" s="65" t="s">
        <v>50</v>
      </c>
      <c r="L151" s="65" t="s">
        <v>51</v>
      </c>
      <c r="M151" s="65" t="s">
        <v>52</v>
      </c>
      <c r="N151" s="65" t="s">
        <v>53</v>
      </c>
      <c r="O151" s="65" t="s">
        <v>54</v>
      </c>
      <c r="P151" s="112" t="s">
        <v>317</v>
      </c>
      <c r="Q151" s="373" t="s">
        <v>55</v>
      </c>
      <c r="R151" s="373" t="s">
        <v>56</v>
      </c>
      <c r="S151" s="112" t="s">
        <v>316</v>
      </c>
    </row>
    <row r="152" spans="1:19" ht="24" customHeight="1">
      <c r="A152" s="201" t="s">
        <v>129</v>
      </c>
      <c r="B152" s="64">
        <v>87</v>
      </c>
      <c r="C152" s="64"/>
      <c r="D152" s="294">
        <v>68</v>
      </c>
      <c r="E152" s="294">
        <v>57</v>
      </c>
      <c r="F152" s="294">
        <v>64</v>
      </c>
      <c r="G152" s="62"/>
      <c r="H152" s="62"/>
      <c r="I152" s="62"/>
      <c r="J152" s="62"/>
      <c r="K152" s="62"/>
      <c r="L152" s="62"/>
      <c r="M152" s="62"/>
      <c r="N152" s="256"/>
      <c r="O152" s="256"/>
      <c r="P152" s="111">
        <f t="shared" ref="P152:P163" si="67">F152/B152</f>
        <v>0.73563218390804597</v>
      </c>
      <c r="Q152" s="71">
        <f t="shared" ref="Q152:Q162" si="68">B152*12</f>
        <v>1044</v>
      </c>
      <c r="R152" s="70">
        <f>SUM(D152:O152)</f>
        <v>189</v>
      </c>
      <c r="S152" s="72">
        <f>R152/R163</f>
        <v>2.7566692434474408E-3</v>
      </c>
    </row>
    <row r="153" spans="1:19" ht="24" customHeight="1">
      <c r="A153" s="201" t="s">
        <v>130</v>
      </c>
      <c r="B153" s="64">
        <v>16792</v>
      </c>
      <c r="C153" s="64"/>
      <c r="D153" s="294">
        <v>17629</v>
      </c>
      <c r="E153" s="294">
        <v>15864</v>
      </c>
      <c r="F153" s="294">
        <v>19456</v>
      </c>
      <c r="G153" s="62"/>
      <c r="H153" s="62"/>
      <c r="I153" s="62"/>
      <c r="J153" s="62"/>
      <c r="K153" s="62"/>
      <c r="L153" s="62"/>
      <c r="M153" s="62"/>
      <c r="N153" s="256"/>
      <c r="O153" s="256"/>
      <c r="P153" s="111">
        <f t="shared" si="67"/>
        <v>1.1586469747498809</v>
      </c>
      <c r="Q153" s="71">
        <f t="shared" si="68"/>
        <v>201504</v>
      </c>
      <c r="R153" s="70">
        <f t="shared" ref="R153:R162" si="69">SUM(D153:O153)</f>
        <v>52949</v>
      </c>
      <c r="S153" s="72">
        <f>R153/R163</f>
        <v>0.7722903691603098</v>
      </c>
    </row>
    <row r="154" spans="1:19" ht="24" customHeight="1">
      <c r="A154" s="201" t="s">
        <v>131</v>
      </c>
      <c r="B154" s="64">
        <v>168</v>
      </c>
      <c r="C154" s="64"/>
      <c r="D154" s="294">
        <v>98</v>
      </c>
      <c r="E154" s="294">
        <v>103</v>
      </c>
      <c r="F154" s="294">
        <v>116</v>
      </c>
      <c r="G154" s="62"/>
      <c r="H154" s="62"/>
      <c r="I154" s="62"/>
      <c r="J154" s="62"/>
      <c r="K154" s="62"/>
      <c r="L154" s="62"/>
      <c r="M154" s="62"/>
      <c r="N154" s="256"/>
      <c r="O154" s="256"/>
      <c r="P154" s="111">
        <f t="shared" si="67"/>
        <v>0.69047619047619047</v>
      </c>
      <c r="Q154" s="71">
        <f t="shared" si="68"/>
        <v>2016</v>
      </c>
      <c r="R154" s="70">
        <f t="shared" si="69"/>
        <v>317</v>
      </c>
      <c r="S154" s="72">
        <f>R154/R163</f>
        <v>4.6236198421843325E-3</v>
      </c>
    </row>
    <row r="155" spans="1:19" ht="24" customHeight="1">
      <c r="A155" s="203" t="s">
        <v>103</v>
      </c>
      <c r="B155" s="64">
        <v>128</v>
      </c>
      <c r="C155" s="64"/>
      <c r="D155" s="294">
        <v>244</v>
      </c>
      <c r="E155" s="294">
        <v>213</v>
      </c>
      <c r="F155" s="294">
        <v>327</v>
      </c>
      <c r="G155" s="62"/>
      <c r="H155" s="62"/>
      <c r="I155" s="62"/>
      <c r="J155" s="62"/>
      <c r="K155" s="62"/>
      <c r="L155" s="62"/>
      <c r="M155" s="62"/>
      <c r="N155" s="256"/>
      <c r="O155" s="256"/>
      <c r="P155" s="111">
        <f t="shared" si="67"/>
        <v>2.5546875</v>
      </c>
      <c r="Q155" s="71">
        <f t="shared" si="68"/>
        <v>1536</v>
      </c>
      <c r="R155" s="70">
        <f t="shared" si="69"/>
        <v>784</v>
      </c>
      <c r="S155" s="72">
        <f>R155/R163</f>
        <v>1.1435072417263459E-2</v>
      </c>
    </row>
    <row r="156" spans="1:19" ht="24" customHeight="1">
      <c r="A156" s="203" t="s">
        <v>20</v>
      </c>
      <c r="B156" s="64">
        <v>1483</v>
      </c>
      <c r="C156" s="64"/>
      <c r="D156" s="294">
        <v>1717</v>
      </c>
      <c r="E156" s="294">
        <v>1734</v>
      </c>
      <c r="F156" s="294">
        <v>2030</v>
      </c>
      <c r="G156" s="62"/>
      <c r="H156" s="62"/>
      <c r="I156" s="62"/>
      <c r="J156" s="62"/>
      <c r="K156" s="62"/>
      <c r="L156" s="62"/>
      <c r="M156" s="62"/>
      <c r="N156" s="256"/>
      <c r="O156" s="256"/>
      <c r="P156" s="111">
        <f t="shared" si="67"/>
        <v>1.3688469318948078</v>
      </c>
      <c r="Q156" s="71">
        <f t="shared" si="68"/>
        <v>17796</v>
      </c>
      <c r="R156" s="70">
        <f t="shared" si="69"/>
        <v>5481</v>
      </c>
      <c r="S156" s="72">
        <f>R156/R163</f>
        <v>7.9943408059975782E-2</v>
      </c>
    </row>
    <row r="157" spans="1:19" ht="24" customHeight="1">
      <c r="A157" s="203" t="s">
        <v>65</v>
      </c>
      <c r="B157" s="64">
        <v>1058</v>
      </c>
      <c r="C157" s="64"/>
      <c r="D157" s="294">
        <v>726</v>
      </c>
      <c r="E157" s="294">
        <v>619</v>
      </c>
      <c r="F157" s="294">
        <v>635</v>
      </c>
      <c r="G157" s="62"/>
      <c r="H157" s="62"/>
      <c r="I157" s="62"/>
      <c r="J157" s="62"/>
      <c r="K157" s="62"/>
      <c r="L157" s="62"/>
      <c r="M157" s="62"/>
      <c r="N157" s="256"/>
      <c r="O157" s="256"/>
      <c r="P157" s="111">
        <f t="shared" si="67"/>
        <v>0.60018903591682415</v>
      </c>
      <c r="Q157" s="71">
        <f t="shared" si="68"/>
        <v>12696</v>
      </c>
      <c r="R157" s="70">
        <f t="shared" si="69"/>
        <v>1980</v>
      </c>
      <c r="S157" s="72">
        <f>R157/R163</f>
        <v>2.8879392074211287E-2</v>
      </c>
    </row>
    <row r="158" spans="1:19" ht="24" customHeight="1">
      <c r="A158" s="203" t="s">
        <v>107</v>
      </c>
      <c r="B158" s="64">
        <v>88</v>
      </c>
      <c r="C158" s="64"/>
      <c r="D158" s="294">
        <v>12</v>
      </c>
      <c r="E158" s="294">
        <v>5</v>
      </c>
      <c r="F158" s="294">
        <v>6</v>
      </c>
      <c r="G158" s="62"/>
      <c r="H158" s="62"/>
      <c r="I158" s="62"/>
      <c r="J158" s="62"/>
      <c r="K158" s="62"/>
      <c r="L158" s="62"/>
      <c r="M158" s="62"/>
      <c r="N158" s="256"/>
      <c r="O158" s="256"/>
      <c r="P158" s="111">
        <f t="shared" si="67"/>
        <v>6.8181818181818177E-2</v>
      </c>
      <c r="Q158" s="71">
        <f t="shared" si="68"/>
        <v>1056</v>
      </c>
      <c r="R158" s="70">
        <f t="shared" si="69"/>
        <v>23</v>
      </c>
      <c r="S158" s="72">
        <f>R158/R163</f>
        <v>3.3546768571053517E-4</v>
      </c>
    </row>
    <row r="159" spans="1:19" ht="24" customHeight="1">
      <c r="A159" s="203" t="s">
        <v>62</v>
      </c>
      <c r="B159" s="64">
        <v>1516</v>
      </c>
      <c r="C159" s="64"/>
      <c r="D159" s="294">
        <v>1505</v>
      </c>
      <c r="E159" s="294">
        <v>1507</v>
      </c>
      <c r="F159" s="294">
        <v>1553</v>
      </c>
      <c r="G159" s="62"/>
      <c r="H159" s="62"/>
      <c r="I159" s="62"/>
      <c r="J159" s="62"/>
      <c r="K159" s="62"/>
      <c r="L159" s="62"/>
      <c r="M159" s="62"/>
      <c r="N159" s="256"/>
      <c r="O159" s="256"/>
      <c r="P159" s="111">
        <f t="shared" si="67"/>
        <v>1.024406332453826</v>
      </c>
      <c r="Q159" s="71">
        <f t="shared" si="68"/>
        <v>18192</v>
      </c>
      <c r="R159" s="70">
        <f t="shared" si="69"/>
        <v>4565</v>
      </c>
      <c r="S159" s="72">
        <f>R159/R163</f>
        <v>6.6583042837764908E-2</v>
      </c>
    </row>
    <row r="160" spans="1:19" ht="24" customHeight="1">
      <c r="A160" s="203" t="s">
        <v>92</v>
      </c>
      <c r="B160" s="64">
        <v>239</v>
      </c>
      <c r="C160" s="64"/>
      <c r="D160" s="294">
        <v>492</v>
      </c>
      <c r="E160" s="294">
        <v>280</v>
      </c>
      <c r="F160" s="294">
        <v>337</v>
      </c>
      <c r="G160" s="62"/>
      <c r="H160" s="62"/>
      <c r="I160" s="62"/>
      <c r="J160" s="62"/>
      <c r="K160" s="62"/>
      <c r="L160" s="62"/>
      <c r="M160" s="62"/>
      <c r="N160" s="256"/>
      <c r="O160" s="256"/>
      <c r="P160" s="111">
        <f t="shared" si="67"/>
        <v>1.4100418410041842</v>
      </c>
      <c r="Q160" s="71">
        <f t="shared" si="68"/>
        <v>2868</v>
      </c>
      <c r="R160" s="70">
        <f t="shared" si="69"/>
        <v>1109</v>
      </c>
      <c r="S160" s="72">
        <f>R160/R163</f>
        <v>1.6175376671868847E-2</v>
      </c>
    </row>
    <row r="161" spans="1:26" ht="24" customHeight="1">
      <c r="A161" s="203" t="s">
        <v>132</v>
      </c>
      <c r="B161" s="64">
        <v>56</v>
      </c>
      <c r="C161" s="64"/>
      <c r="D161" s="294">
        <v>29</v>
      </c>
      <c r="E161" s="294">
        <v>23</v>
      </c>
      <c r="F161" s="294">
        <v>72</v>
      </c>
      <c r="G161" s="62"/>
      <c r="H161" s="62"/>
      <c r="I161" s="62"/>
      <c r="J161" s="62"/>
      <c r="K161" s="62"/>
      <c r="L161" s="62"/>
      <c r="M161" s="62"/>
      <c r="N161" s="256"/>
      <c r="O161" s="256"/>
      <c r="P161" s="111">
        <f t="shared" si="67"/>
        <v>1.2857142857142858</v>
      </c>
      <c r="Q161" s="71">
        <f t="shared" si="68"/>
        <v>672</v>
      </c>
      <c r="R161" s="70">
        <f t="shared" si="69"/>
        <v>124</v>
      </c>
      <c r="S161" s="72">
        <f>R161/R163</f>
        <v>1.8086083925263634E-3</v>
      </c>
    </row>
    <row r="162" spans="1:26" ht="24" customHeight="1">
      <c r="A162" s="203" t="s">
        <v>133</v>
      </c>
      <c r="B162" s="64">
        <v>290</v>
      </c>
      <c r="C162" s="64"/>
      <c r="D162" s="294">
        <v>339</v>
      </c>
      <c r="E162" s="294">
        <v>314</v>
      </c>
      <c r="F162" s="294">
        <v>387</v>
      </c>
      <c r="G162" s="62"/>
      <c r="H162" s="62"/>
      <c r="I162" s="62"/>
      <c r="J162" s="62"/>
      <c r="K162" s="62"/>
      <c r="L162" s="62"/>
      <c r="M162" s="62"/>
      <c r="N162" s="256"/>
      <c r="O162" s="256"/>
      <c r="P162" s="111">
        <f t="shared" si="67"/>
        <v>1.3344827586206895</v>
      </c>
      <c r="Q162" s="71">
        <f t="shared" si="68"/>
        <v>3480</v>
      </c>
      <c r="R162" s="70">
        <f t="shared" si="69"/>
        <v>1040</v>
      </c>
      <c r="S162" s="72">
        <f>R162/R163</f>
        <v>1.5168973614737241E-2</v>
      </c>
    </row>
    <row r="163" spans="1:26" ht="25.9" customHeight="1">
      <c r="A163" s="65" t="s">
        <v>59</v>
      </c>
      <c r="B163" s="64">
        <f>SUM(B152:B162)</f>
        <v>21905</v>
      </c>
      <c r="C163" s="64"/>
      <c r="D163" s="64">
        <f>SUM(D152:D162)</f>
        <v>22859</v>
      </c>
      <c r="E163" s="64">
        <f>SUM(E152:E162)</f>
        <v>20719</v>
      </c>
      <c r="F163" s="64">
        <f>SUM(F152:F162)</f>
        <v>24983</v>
      </c>
      <c r="G163" s="64">
        <f t="shared" ref="G163:O163" si="70">SUM(G152:G162)</f>
        <v>0</v>
      </c>
      <c r="H163" s="64">
        <f t="shared" si="70"/>
        <v>0</v>
      </c>
      <c r="I163" s="64">
        <f t="shared" si="70"/>
        <v>0</v>
      </c>
      <c r="J163" s="64">
        <f t="shared" si="70"/>
        <v>0</v>
      </c>
      <c r="K163" s="64">
        <f t="shared" si="70"/>
        <v>0</v>
      </c>
      <c r="L163" s="64">
        <f t="shared" si="70"/>
        <v>0</v>
      </c>
      <c r="M163" s="64">
        <f t="shared" si="70"/>
        <v>0</v>
      </c>
      <c r="N163" s="64">
        <f t="shared" si="70"/>
        <v>0</v>
      </c>
      <c r="O163" s="64">
        <f t="shared" si="70"/>
        <v>0</v>
      </c>
      <c r="P163" s="402">
        <f t="shared" si="67"/>
        <v>1.1405158639580004</v>
      </c>
      <c r="Q163" s="64">
        <f>SUM(Q152:Q162)</f>
        <v>262860</v>
      </c>
      <c r="R163" s="64">
        <f>SUM(R152:R162)</f>
        <v>68561</v>
      </c>
      <c r="S163" s="74">
        <f>SUM(S152:S162)</f>
        <v>1.0000000000000002</v>
      </c>
    </row>
    <row r="165" spans="1:26" ht="30">
      <c r="A165" s="218" t="s">
        <v>287</v>
      </c>
      <c r="B165" s="221" t="s">
        <v>272</v>
      </c>
      <c r="C165" s="219"/>
      <c r="D165" s="222" t="s">
        <v>43</v>
      </c>
      <c r="E165" s="222" t="s">
        <v>44</v>
      </c>
      <c r="F165" s="222" t="s">
        <v>45</v>
      </c>
      <c r="G165" s="222" t="s">
        <v>46</v>
      </c>
      <c r="H165" s="222" t="s">
        <v>47</v>
      </c>
      <c r="I165" s="222" t="s">
        <v>48</v>
      </c>
      <c r="J165" s="222" t="s">
        <v>49</v>
      </c>
      <c r="K165" s="222" t="s">
        <v>50</v>
      </c>
      <c r="L165" s="222" t="s">
        <v>51</v>
      </c>
      <c r="M165" s="222" t="s">
        <v>52</v>
      </c>
      <c r="N165" s="222" t="s">
        <v>53</v>
      </c>
      <c r="O165" s="222" t="s">
        <v>54</v>
      </c>
      <c r="P165" s="222" t="s">
        <v>56</v>
      </c>
    </row>
    <row r="166" spans="1:26" ht="23.45" customHeight="1">
      <c r="A166" s="215" t="s">
        <v>274</v>
      </c>
      <c r="B166" s="501" t="s">
        <v>60</v>
      </c>
      <c r="C166" s="214"/>
      <c r="D166" s="317">
        <v>73</v>
      </c>
      <c r="E166" s="317">
        <v>60</v>
      </c>
      <c r="F166" s="317">
        <v>68</v>
      </c>
      <c r="G166" s="223"/>
      <c r="H166" s="223"/>
      <c r="I166" s="223"/>
      <c r="J166" s="223"/>
      <c r="K166" s="223"/>
      <c r="L166" s="223"/>
      <c r="M166" s="223"/>
      <c r="N166" s="258"/>
      <c r="O166" s="258"/>
      <c r="P166" s="71">
        <f>SUM(C166:O166)</f>
        <v>201</v>
      </c>
    </row>
    <row r="167" spans="1:26" ht="23.45" customHeight="1">
      <c r="A167" s="215" t="s">
        <v>275</v>
      </c>
      <c r="B167" s="501"/>
      <c r="C167" s="214"/>
      <c r="D167" s="317">
        <v>47</v>
      </c>
      <c r="E167" s="317">
        <v>54</v>
      </c>
      <c r="F167" s="317">
        <v>48</v>
      </c>
      <c r="G167" s="223"/>
      <c r="H167" s="223"/>
      <c r="I167" s="223"/>
      <c r="J167" s="223"/>
      <c r="K167" s="223"/>
      <c r="L167" s="223"/>
      <c r="M167" s="223"/>
      <c r="N167" s="258"/>
      <c r="O167" s="258"/>
      <c r="P167" s="71">
        <f t="shared" ref="P167:P168" si="71">SUM(C167:O167)</f>
        <v>149</v>
      </c>
    </row>
    <row r="168" spans="1:26" ht="23.45" customHeight="1">
      <c r="A168" s="215" t="s">
        <v>276</v>
      </c>
      <c r="B168" s="501"/>
      <c r="C168" s="214"/>
      <c r="D168" s="317">
        <v>2</v>
      </c>
      <c r="E168" s="317">
        <v>1</v>
      </c>
      <c r="F168" s="317">
        <v>3</v>
      </c>
      <c r="G168" s="223"/>
      <c r="H168" s="223"/>
      <c r="I168" s="223"/>
      <c r="J168" s="223"/>
      <c r="K168" s="223"/>
      <c r="L168" s="223"/>
      <c r="M168" s="223"/>
      <c r="N168" s="258"/>
      <c r="O168" s="258"/>
      <c r="P168" s="71">
        <f t="shared" si="71"/>
        <v>6</v>
      </c>
    </row>
    <row r="169" spans="1:26" ht="23.45" customHeight="1">
      <c r="A169" s="218" t="s">
        <v>277</v>
      </c>
      <c r="B169" s="501"/>
      <c r="C169" s="214"/>
      <c r="D169" s="220">
        <f>SUM(D166:D168)</f>
        <v>122</v>
      </c>
      <c r="E169" s="220">
        <f>SUM(E166:E167)</f>
        <v>114</v>
      </c>
      <c r="F169" s="220">
        <f t="shared" ref="F169:O169" si="72">SUM(F166:F167)</f>
        <v>116</v>
      </c>
      <c r="G169" s="220">
        <f t="shared" si="72"/>
        <v>0</v>
      </c>
      <c r="H169" s="220">
        <f t="shared" si="72"/>
        <v>0</v>
      </c>
      <c r="I169" s="220">
        <f t="shared" si="72"/>
        <v>0</v>
      </c>
      <c r="J169" s="220">
        <f t="shared" si="72"/>
        <v>0</v>
      </c>
      <c r="K169" s="220">
        <f t="shared" si="72"/>
        <v>0</v>
      </c>
      <c r="L169" s="220">
        <f t="shared" si="72"/>
        <v>0</v>
      </c>
      <c r="M169" s="220">
        <f t="shared" si="72"/>
        <v>0</v>
      </c>
      <c r="N169" s="220">
        <f t="shared" si="72"/>
        <v>0</v>
      </c>
      <c r="O169" s="220">
        <f t="shared" si="72"/>
        <v>0</v>
      </c>
      <c r="P169" s="64">
        <f>SUM(P166:P168)</f>
        <v>356</v>
      </c>
    </row>
    <row r="170" spans="1:26" ht="13.9" customHeight="1">
      <c r="A170" s="357"/>
      <c r="B170" s="358"/>
      <c r="C170" s="359"/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0"/>
      <c r="O170" s="360"/>
    </row>
    <row r="171" spans="1:26" ht="33.75" customHeight="1">
      <c r="A171" s="73" t="s">
        <v>254</v>
      </c>
      <c r="B171" s="210" t="s">
        <v>255</v>
      </c>
      <c r="C171" s="169" t="s">
        <v>245</v>
      </c>
      <c r="D171" s="65" t="s">
        <v>43</v>
      </c>
      <c r="E171" s="65" t="s">
        <v>44</v>
      </c>
      <c r="F171" s="65" t="s">
        <v>45</v>
      </c>
      <c r="G171" s="65" t="s">
        <v>46</v>
      </c>
      <c r="H171" s="65" t="s">
        <v>47</v>
      </c>
      <c r="I171" s="65" t="s">
        <v>48</v>
      </c>
      <c r="J171" s="65" t="s">
        <v>49</v>
      </c>
      <c r="K171" s="65" t="s">
        <v>50</v>
      </c>
      <c r="L171" s="65" t="s">
        <v>51</v>
      </c>
      <c r="M171" s="65" t="s">
        <v>52</v>
      </c>
      <c r="N171" s="65" t="s">
        <v>53</v>
      </c>
      <c r="O171" s="65" t="s">
        <v>54</v>
      </c>
      <c r="P171" s="222" t="s">
        <v>56</v>
      </c>
      <c r="Q171" s="171"/>
      <c r="R171" s="171"/>
      <c r="S171" s="172"/>
      <c r="T171" s="172"/>
      <c r="U171" s="172"/>
      <c r="V171" s="171"/>
      <c r="W171" s="171"/>
      <c r="X171" s="172"/>
      <c r="Y171" s="172"/>
      <c r="Z171" s="179"/>
    </row>
    <row r="172" spans="1:26" ht="25.15" customHeight="1">
      <c r="A172" s="212" t="s">
        <v>256</v>
      </c>
      <c r="B172" s="500" t="s">
        <v>60</v>
      </c>
      <c r="C172" s="180"/>
      <c r="D172" s="311">
        <v>2</v>
      </c>
      <c r="E172" s="294">
        <v>0</v>
      </c>
      <c r="F172" s="294">
        <v>0</v>
      </c>
      <c r="G172" s="62"/>
      <c r="H172" s="62"/>
      <c r="I172" s="62"/>
      <c r="J172" s="62"/>
      <c r="K172" s="62"/>
      <c r="L172" s="62"/>
      <c r="M172" s="62"/>
      <c r="N172" s="256"/>
      <c r="O172" s="256"/>
      <c r="P172" s="71">
        <f>SUM(D172:O172)</f>
        <v>2</v>
      </c>
      <c r="Q172" s="181"/>
      <c r="R172" s="181"/>
      <c r="S172" s="181"/>
      <c r="T172" s="181"/>
      <c r="U172" s="181"/>
      <c r="V172" s="181"/>
      <c r="W172" s="182"/>
      <c r="X172" s="182"/>
      <c r="Y172" s="182"/>
      <c r="Z172" s="179"/>
    </row>
    <row r="173" spans="1:26" ht="25.15" customHeight="1">
      <c r="A173" s="212" t="s">
        <v>257</v>
      </c>
      <c r="B173" s="500"/>
      <c r="C173" s="180"/>
      <c r="D173" s="294">
        <v>4</v>
      </c>
      <c r="E173" s="294">
        <v>10</v>
      </c>
      <c r="F173" s="294">
        <v>5</v>
      </c>
      <c r="G173" s="62"/>
      <c r="H173" s="62"/>
      <c r="I173" s="62"/>
      <c r="J173" s="62"/>
      <c r="K173" s="62"/>
      <c r="L173" s="62"/>
      <c r="M173" s="62"/>
      <c r="N173" s="256"/>
      <c r="O173" s="256"/>
      <c r="P173" s="70">
        <f>SUM(D173:O173)</f>
        <v>19</v>
      </c>
      <c r="Q173" s="181"/>
      <c r="R173" s="181"/>
      <c r="S173" s="181"/>
      <c r="T173" s="181"/>
      <c r="U173" s="181"/>
      <c r="V173" s="181"/>
      <c r="W173" s="182"/>
      <c r="X173" s="182"/>
      <c r="Y173" s="182"/>
      <c r="Z173" s="179"/>
    </row>
    <row r="174" spans="1:26" ht="25.15" customHeight="1">
      <c r="A174" s="212" t="s">
        <v>267</v>
      </c>
      <c r="B174" s="500"/>
      <c r="C174" s="180"/>
      <c r="D174" s="294">
        <v>7</v>
      </c>
      <c r="E174" s="294">
        <v>5</v>
      </c>
      <c r="F174" s="294">
        <v>4</v>
      </c>
      <c r="G174" s="62"/>
      <c r="H174" s="62"/>
      <c r="I174" s="62"/>
      <c r="J174" s="62"/>
      <c r="K174" s="62"/>
      <c r="L174" s="62"/>
      <c r="M174" s="62"/>
      <c r="N174" s="256"/>
      <c r="O174" s="256"/>
      <c r="P174" s="71">
        <f t="shared" ref="P174:P175" si="73">SUM(D174:O174)</f>
        <v>16</v>
      </c>
      <c r="Q174" s="181"/>
      <c r="R174" s="181"/>
      <c r="S174" s="181"/>
      <c r="T174" s="181"/>
      <c r="U174" s="181"/>
      <c r="V174" s="181"/>
      <c r="W174" s="182"/>
      <c r="X174" s="182"/>
      <c r="Y174" s="182"/>
      <c r="Z174" s="179"/>
    </row>
    <row r="175" spans="1:26" ht="25.15" customHeight="1">
      <c r="A175" s="212" t="s">
        <v>292</v>
      </c>
      <c r="B175" s="500"/>
      <c r="C175" s="183"/>
      <c r="D175" s="294">
        <v>32</v>
      </c>
      <c r="E175" s="294">
        <v>34</v>
      </c>
      <c r="F175" s="294">
        <v>35</v>
      </c>
      <c r="G175" s="62"/>
      <c r="H175" s="62"/>
      <c r="I175" s="62"/>
      <c r="J175" s="62"/>
      <c r="K175" s="62"/>
      <c r="L175" s="62"/>
      <c r="M175" s="62"/>
      <c r="N175" s="256"/>
      <c r="O175" s="256"/>
      <c r="P175" s="71">
        <f t="shared" si="73"/>
        <v>101</v>
      </c>
      <c r="Q175" s="184"/>
      <c r="R175" s="184"/>
      <c r="S175" s="172"/>
      <c r="T175" s="185"/>
      <c r="U175" s="185"/>
      <c r="V175" s="185"/>
      <c r="W175" s="185"/>
      <c r="X175" s="182"/>
      <c r="Y175" s="185"/>
      <c r="Z175" s="185"/>
    </row>
    <row r="176" spans="1:26" ht="15" customHeight="1">
      <c r="A176" s="357"/>
      <c r="B176" s="358"/>
      <c r="C176" s="359"/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0"/>
      <c r="O176" s="360"/>
    </row>
    <row r="177" spans="1:26" ht="35.25" customHeight="1">
      <c r="A177" s="211" t="s">
        <v>258</v>
      </c>
      <c r="B177" s="210" t="s">
        <v>255</v>
      </c>
      <c r="C177" s="169" t="s">
        <v>245</v>
      </c>
      <c r="D177" s="65" t="s">
        <v>43</v>
      </c>
      <c r="E177" s="65" t="s">
        <v>44</v>
      </c>
      <c r="F177" s="65" t="s">
        <v>45</v>
      </c>
      <c r="G177" s="65" t="s">
        <v>46</v>
      </c>
      <c r="H177" s="65" t="s">
        <v>47</v>
      </c>
      <c r="I177" s="65" t="s">
        <v>48</v>
      </c>
      <c r="J177" s="65" t="s">
        <v>49</v>
      </c>
      <c r="K177" s="65" t="s">
        <v>50</v>
      </c>
      <c r="L177" s="65" t="s">
        <v>51</v>
      </c>
      <c r="M177" s="65" t="s">
        <v>52</v>
      </c>
      <c r="N177" s="65" t="s">
        <v>53</v>
      </c>
      <c r="O177" s="65" t="s">
        <v>54</v>
      </c>
      <c r="P177" s="222" t="s">
        <v>56</v>
      </c>
      <c r="Q177" s="171"/>
      <c r="R177" s="171"/>
      <c r="S177" s="172"/>
      <c r="T177" s="172"/>
      <c r="U177" s="172"/>
      <c r="V177" s="171"/>
      <c r="W177" s="171"/>
      <c r="X177" s="172"/>
      <c r="Y177" s="172"/>
      <c r="Z177" s="185"/>
    </row>
    <row r="178" spans="1:26" ht="25.15" customHeight="1">
      <c r="A178" s="213" t="s">
        <v>259</v>
      </c>
      <c r="B178" s="494" t="s">
        <v>260</v>
      </c>
      <c r="C178" s="374"/>
      <c r="D178" s="294">
        <v>2918</v>
      </c>
      <c r="E178" s="294">
        <v>2691</v>
      </c>
      <c r="F178" s="294">
        <v>3145</v>
      </c>
      <c r="G178" s="62"/>
      <c r="H178" s="62"/>
      <c r="I178" s="62"/>
      <c r="J178" s="62"/>
      <c r="K178" s="62"/>
      <c r="L178" s="62"/>
      <c r="M178" s="62"/>
      <c r="N178" s="256"/>
      <c r="O178" s="256"/>
      <c r="P178" s="70">
        <f>SUM(D178:O178)</f>
        <v>8754</v>
      </c>
      <c r="Q178" s="174"/>
      <c r="R178" s="174"/>
      <c r="S178" s="174"/>
      <c r="T178" s="186"/>
      <c r="U178" s="174"/>
      <c r="V178" s="174"/>
      <c r="W178" s="174"/>
      <c r="X178" s="182"/>
      <c r="Y178" s="174"/>
      <c r="Z178" s="185"/>
    </row>
    <row r="179" spans="1:26" ht="25.15" customHeight="1">
      <c r="A179" s="213" t="s">
        <v>261</v>
      </c>
      <c r="B179" s="494"/>
      <c r="C179" s="374"/>
      <c r="D179" s="293">
        <v>107</v>
      </c>
      <c r="E179" s="294">
        <v>116</v>
      </c>
      <c r="F179" s="294">
        <v>132</v>
      </c>
      <c r="G179" s="62"/>
      <c r="H179" s="62"/>
      <c r="I179" s="62"/>
      <c r="J179" s="62"/>
      <c r="K179" s="62"/>
      <c r="L179" s="62"/>
      <c r="M179" s="62"/>
      <c r="N179" s="256"/>
      <c r="O179" s="256"/>
      <c r="P179" s="70">
        <f>SUM(D179:O179)</f>
        <v>355</v>
      </c>
      <c r="Q179" s="174"/>
      <c r="R179" s="174"/>
      <c r="S179" s="174"/>
      <c r="T179" s="186"/>
      <c r="U179" s="174"/>
      <c r="V179" s="174"/>
      <c r="W179" s="174"/>
      <c r="X179" s="182"/>
      <c r="Y179" s="174"/>
      <c r="Z179" s="185"/>
    </row>
    <row r="180" spans="1:26" ht="25.15" customHeight="1">
      <c r="A180" s="200" t="s">
        <v>59</v>
      </c>
      <c r="B180" s="494"/>
      <c r="C180" s="375"/>
      <c r="D180" s="376">
        <f t="shared" ref="D180:O180" si="74">SUM(D178:D179)</f>
        <v>3025</v>
      </c>
      <c r="E180" s="376">
        <f t="shared" si="74"/>
        <v>2807</v>
      </c>
      <c r="F180" s="376">
        <f t="shared" si="74"/>
        <v>3277</v>
      </c>
      <c r="G180" s="376">
        <f t="shared" si="74"/>
        <v>0</v>
      </c>
      <c r="H180" s="376">
        <f t="shared" si="74"/>
        <v>0</v>
      </c>
      <c r="I180" s="376">
        <f t="shared" si="74"/>
        <v>0</v>
      </c>
      <c r="J180" s="376">
        <f t="shared" si="74"/>
        <v>0</v>
      </c>
      <c r="K180" s="376">
        <f t="shared" si="74"/>
        <v>0</v>
      </c>
      <c r="L180" s="376">
        <f t="shared" si="74"/>
        <v>0</v>
      </c>
      <c r="M180" s="376">
        <f t="shared" si="74"/>
        <v>0</v>
      </c>
      <c r="N180" s="376">
        <f t="shared" si="74"/>
        <v>0</v>
      </c>
      <c r="O180" s="376">
        <f t="shared" si="74"/>
        <v>0</v>
      </c>
      <c r="P180" s="428">
        <f t="shared" ref="P180" si="75">SUM(D180:O180)</f>
        <v>9109</v>
      </c>
      <c r="Q180" s="170"/>
      <c r="R180" s="170"/>
      <c r="S180" s="170"/>
      <c r="T180" s="170"/>
      <c r="U180" s="170"/>
      <c r="V180" s="170"/>
      <c r="W180" s="170"/>
      <c r="X180" s="182"/>
      <c r="Y180" s="174"/>
      <c r="Z180" s="185"/>
    </row>
    <row r="181" spans="1:26" ht="25.15" customHeight="1">
      <c r="A181" s="213" t="s">
        <v>314</v>
      </c>
      <c r="B181" s="494"/>
      <c r="C181" s="352"/>
      <c r="D181" s="294">
        <v>366</v>
      </c>
      <c r="E181" s="294">
        <v>380</v>
      </c>
      <c r="F181" s="294">
        <v>383</v>
      </c>
      <c r="G181" s="62"/>
      <c r="H181" s="62"/>
      <c r="I181" s="62"/>
      <c r="J181" s="62"/>
      <c r="K181" s="62"/>
      <c r="L181" s="62"/>
      <c r="M181" s="62"/>
      <c r="N181" s="62"/>
      <c r="O181" s="62"/>
      <c r="P181" s="428">
        <f>SUM(D181:O181)</f>
        <v>1129</v>
      </c>
      <c r="R181" s="170"/>
      <c r="S181" s="170"/>
      <c r="T181" s="170"/>
      <c r="U181" s="170"/>
      <c r="V181" s="170"/>
      <c r="W181" s="170"/>
      <c r="X181" s="182"/>
      <c r="Y181" s="174"/>
      <c r="Z181" s="185"/>
    </row>
    <row r="182" spans="1:26" ht="14.45" customHeight="1">
      <c r="A182" s="357"/>
      <c r="B182" s="358"/>
      <c r="C182" s="359"/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</row>
    <row r="183" spans="1:26" ht="49.5" customHeight="1">
      <c r="A183" s="63" t="s">
        <v>75</v>
      </c>
      <c r="B183" s="210" t="s">
        <v>255</v>
      </c>
      <c r="C183" s="169" t="s">
        <v>245</v>
      </c>
      <c r="D183" s="65" t="s">
        <v>43</v>
      </c>
      <c r="E183" s="65" t="s">
        <v>44</v>
      </c>
      <c r="F183" s="65" t="s">
        <v>45</v>
      </c>
      <c r="G183" s="65" t="s">
        <v>46</v>
      </c>
      <c r="H183" s="65" t="s">
        <v>47</v>
      </c>
      <c r="I183" s="65" t="s">
        <v>48</v>
      </c>
      <c r="J183" s="65" t="s">
        <v>49</v>
      </c>
      <c r="K183" s="65" t="s">
        <v>50</v>
      </c>
      <c r="L183" s="65" t="s">
        <v>51</v>
      </c>
      <c r="M183" s="65" t="s">
        <v>52</v>
      </c>
      <c r="N183" s="65" t="s">
        <v>53</v>
      </c>
      <c r="O183" s="65" t="s">
        <v>54</v>
      </c>
      <c r="P183" s="171"/>
      <c r="Q183" s="171"/>
      <c r="R183" s="171"/>
      <c r="S183" s="171"/>
      <c r="T183" s="171"/>
      <c r="U183" s="171"/>
      <c r="V183" s="171"/>
      <c r="W183" s="171"/>
      <c r="X183" s="172"/>
      <c r="Y183" s="185"/>
      <c r="Z183" s="172"/>
    </row>
    <row r="184" spans="1:26" ht="21.75" customHeight="1">
      <c r="A184" s="201" t="s">
        <v>76</v>
      </c>
      <c r="B184" s="499" t="s">
        <v>262</v>
      </c>
      <c r="C184" s="187"/>
      <c r="D184" s="294">
        <v>77</v>
      </c>
      <c r="E184" s="294">
        <v>76</v>
      </c>
      <c r="F184" s="294">
        <v>72</v>
      </c>
      <c r="G184" s="62"/>
      <c r="H184" s="62"/>
      <c r="I184" s="62"/>
      <c r="J184" s="62"/>
      <c r="K184" s="62"/>
      <c r="L184" s="62"/>
      <c r="M184" s="62"/>
      <c r="N184" s="256"/>
      <c r="O184" s="256"/>
      <c r="P184" s="173"/>
      <c r="Q184" s="173"/>
      <c r="R184" s="173"/>
      <c r="S184" s="174"/>
      <c r="T184" s="185"/>
      <c r="U184" s="185"/>
      <c r="V184" s="185"/>
      <c r="W184" s="175"/>
      <c r="X184" s="182"/>
      <c r="Y184" s="185"/>
      <c r="Z184" s="185"/>
    </row>
    <row r="185" spans="1:26" ht="24.75" customHeight="1">
      <c r="A185" s="201" t="s">
        <v>77</v>
      </c>
      <c r="B185" s="499"/>
      <c r="C185" s="187"/>
      <c r="D185" s="294">
        <v>2406</v>
      </c>
      <c r="E185" s="294">
        <v>2168</v>
      </c>
      <c r="F185" s="294">
        <v>2618</v>
      </c>
      <c r="G185" s="62"/>
      <c r="H185" s="62"/>
      <c r="I185" s="62"/>
      <c r="J185" s="62"/>
      <c r="K185" s="62"/>
      <c r="L185" s="62"/>
      <c r="M185" s="62"/>
      <c r="N185" s="256"/>
      <c r="O185" s="256"/>
      <c r="P185" s="173"/>
      <c r="Q185" s="173"/>
      <c r="R185" s="173"/>
      <c r="S185" s="174"/>
      <c r="T185" s="185"/>
      <c r="U185" s="185"/>
      <c r="V185" s="185"/>
      <c r="W185" s="175"/>
      <c r="X185" s="182"/>
      <c r="Y185" s="185"/>
      <c r="Z185" s="185"/>
    </row>
    <row r="186" spans="1:26" ht="24" customHeight="1">
      <c r="A186" s="201" t="s">
        <v>78</v>
      </c>
      <c r="B186" s="499"/>
      <c r="C186" s="187"/>
      <c r="D186" s="294">
        <v>366</v>
      </c>
      <c r="E186" s="294">
        <v>380</v>
      </c>
      <c r="F186" s="294">
        <v>383</v>
      </c>
      <c r="G186" s="62"/>
      <c r="H186" s="62"/>
      <c r="I186" s="62"/>
      <c r="J186" s="62"/>
      <c r="K186" s="62"/>
      <c r="L186" s="62"/>
      <c r="M186" s="62"/>
      <c r="N186" s="256"/>
      <c r="O186" s="256"/>
      <c r="P186" s="173"/>
      <c r="Q186" s="173"/>
      <c r="R186" s="173"/>
      <c r="S186" s="174"/>
      <c r="T186" s="185"/>
      <c r="U186" s="174"/>
      <c r="V186" s="185"/>
      <c r="W186" s="175"/>
      <c r="X186" s="182"/>
      <c r="Y186" s="185"/>
      <c r="Z186" s="185"/>
    </row>
    <row r="187" spans="1:26" ht="27" customHeight="1">
      <c r="A187" s="201" t="s">
        <v>79</v>
      </c>
      <c r="B187" s="499"/>
      <c r="C187" s="187"/>
      <c r="D187" s="294">
        <v>176</v>
      </c>
      <c r="E187" s="294">
        <v>183</v>
      </c>
      <c r="F187" s="294">
        <v>204</v>
      </c>
      <c r="G187" s="62"/>
      <c r="H187" s="62"/>
      <c r="I187" s="62"/>
      <c r="J187" s="62"/>
      <c r="K187" s="62"/>
      <c r="L187" s="62"/>
      <c r="M187" s="62"/>
      <c r="N187" s="256"/>
      <c r="O187" s="256"/>
      <c r="P187" s="173"/>
      <c r="Q187" s="173"/>
      <c r="R187" s="173"/>
      <c r="S187" s="174"/>
      <c r="T187" s="185"/>
      <c r="U187" s="185"/>
      <c r="V187" s="185"/>
      <c r="W187" s="175"/>
      <c r="X187" s="182"/>
      <c r="Y187" s="185"/>
      <c r="Z187" s="185"/>
    </row>
    <row r="188" spans="1:26" ht="26.25" customHeight="1">
      <c r="A188" s="63" t="s">
        <v>59</v>
      </c>
      <c r="B188" s="499"/>
      <c r="C188" s="188"/>
      <c r="D188" s="68">
        <f>SUM(D184:D187)</f>
        <v>3025</v>
      </c>
      <c r="E188" s="68">
        <f t="shared" ref="E188:O188" si="76">SUM(E184:E187)</f>
        <v>2807</v>
      </c>
      <c r="F188" s="68">
        <f t="shared" si="76"/>
        <v>3277</v>
      </c>
      <c r="G188" s="70">
        <f t="shared" si="76"/>
        <v>0</v>
      </c>
      <c r="H188" s="70">
        <f t="shared" si="76"/>
        <v>0</v>
      </c>
      <c r="I188" s="70">
        <f t="shared" si="76"/>
        <v>0</v>
      </c>
      <c r="J188" s="70">
        <f t="shared" si="76"/>
        <v>0</v>
      </c>
      <c r="K188" s="70">
        <f t="shared" si="76"/>
        <v>0</v>
      </c>
      <c r="L188" s="70">
        <f t="shared" si="76"/>
        <v>0</v>
      </c>
      <c r="M188" s="70">
        <f t="shared" si="76"/>
        <v>0</v>
      </c>
      <c r="N188" s="195">
        <f t="shared" si="76"/>
        <v>0</v>
      </c>
      <c r="O188" s="195">
        <f t="shared" si="76"/>
        <v>0</v>
      </c>
      <c r="P188" s="170"/>
      <c r="Q188" s="170"/>
      <c r="R188" s="170"/>
      <c r="S188" s="170"/>
      <c r="T188" s="170"/>
      <c r="U188" s="170"/>
      <c r="V188" s="170"/>
      <c r="W188" s="170"/>
      <c r="X188" s="170"/>
      <c r="Y188" s="185"/>
      <c r="Z188" s="185"/>
    </row>
    <row r="189" spans="1:26" ht="18" customHeight="1">
      <c r="A189" s="357"/>
      <c r="B189" s="358"/>
      <c r="C189" s="359"/>
      <c r="D189" s="360"/>
      <c r="E189" s="360"/>
      <c r="F189" s="360"/>
      <c r="G189" s="360"/>
      <c r="H189" s="360"/>
      <c r="I189" s="360"/>
      <c r="J189" s="360"/>
      <c r="K189" s="360"/>
      <c r="L189" s="360"/>
      <c r="M189" s="360"/>
      <c r="N189" s="360"/>
      <c r="O189" s="360"/>
    </row>
    <row r="190" spans="1:26" ht="126">
      <c r="A190" s="63" t="s">
        <v>128</v>
      </c>
      <c r="B190" s="210" t="s">
        <v>255</v>
      </c>
      <c r="C190" s="169" t="s">
        <v>245</v>
      </c>
      <c r="D190" s="65" t="s">
        <v>43</v>
      </c>
      <c r="E190" s="65" t="s">
        <v>44</v>
      </c>
      <c r="F190" s="65" t="s">
        <v>45</v>
      </c>
      <c r="G190" s="65" t="s">
        <v>46</v>
      </c>
      <c r="H190" s="65" t="s">
        <v>47</v>
      </c>
      <c r="I190" s="65" t="s">
        <v>48</v>
      </c>
      <c r="J190" s="65" t="s">
        <v>49</v>
      </c>
      <c r="K190" s="65" t="s">
        <v>50</v>
      </c>
      <c r="L190" s="65" t="s">
        <v>51</v>
      </c>
      <c r="M190" s="65" t="s">
        <v>52</v>
      </c>
      <c r="N190" s="65" t="s">
        <v>53</v>
      </c>
      <c r="O190" s="65" t="s">
        <v>54</v>
      </c>
      <c r="P190" s="172"/>
      <c r="Q190" s="171"/>
      <c r="R190" s="171"/>
      <c r="S190" s="172"/>
      <c r="T190" s="172"/>
      <c r="U190" s="172"/>
      <c r="V190" s="171"/>
      <c r="W190" s="171"/>
      <c r="X190" s="172"/>
      <c r="Y190" s="185"/>
      <c r="Z190" s="185"/>
    </row>
    <row r="191" spans="1:26" ht="32.25" customHeight="1">
      <c r="A191" s="198" t="s">
        <v>263</v>
      </c>
      <c r="B191" s="73" t="s">
        <v>60</v>
      </c>
      <c r="C191" s="189"/>
      <c r="D191" s="294">
        <v>40</v>
      </c>
      <c r="E191" s="294">
        <v>59</v>
      </c>
      <c r="F191" s="294">
        <v>71</v>
      </c>
      <c r="G191" s="62"/>
      <c r="H191" s="62"/>
      <c r="I191" s="62"/>
      <c r="J191" s="62"/>
      <c r="K191" s="62"/>
      <c r="L191" s="62"/>
      <c r="M191" s="62"/>
      <c r="N191" s="256"/>
      <c r="O191" s="256"/>
      <c r="P191" s="185"/>
      <c r="Q191" s="185"/>
      <c r="R191" s="185"/>
      <c r="S191" s="171"/>
      <c r="T191" s="185"/>
      <c r="U191" s="185"/>
    </row>
    <row r="192" spans="1:26" ht="15.6" customHeight="1">
      <c r="A192" s="361"/>
      <c r="B192" s="364"/>
      <c r="C192" s="365"/>
      <c r="D192" s="363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O192" s="363"/>
      <c r="P192" s="185"/>
      <c r="Q192" s="185"/>
      <c r="R192" s="185"/>
      <c r="S192" s="171"/>
      <c r="T192" s="185"/>
      <c r="U192" s="185"/>
    </row>
    <row r="193" spans="1:19" ht="33.6" customHeight="1">
      <c r="A193" s="63" t="s">
        <v>68</v>
      </c>
      <c r="B193" s="63" t="s">
        <v>248</v>
      </c>
      <c r="C193" s="64"/>
      <c r="D193" s="65" t="s">
        <v>43</v>
      </c>
      <c r="E193" s="65" t="s">
        <v>44</v>
      </c>
      <c r="F193" s="65" t="s">
        <v>45</v>
      </c>
      <c r="G193" s="65" t="s">
        <v>46</v>
      </c>
      <c r="H193" s="65" t="s">
        <v>47</v>
      </c>
      <c r="I193" s="65" t="s">
        <v>48</v>
      </c>
      <c r="J193" s="65" t="s">
        <v>49</v>
      </c>
      <c r="K193" s="65" t="s">
        <v>50</v>
      </c>
      <c r="L193" s="65" t="s">
        <v>51</v>
      </c>
      <c r="M193" s="65" t="s">
        <v>52</v>
      </c>
      <c r="N193" s="65" t="s">
        <v>53</v>
      </c>
      <c r="O193" s="65" t="s">
        <v>54</v>
      </c>
    </row>
    <row r="194" spans="1:19" ht="27.6" customHeight="1">
      <c r="A194" s="76" t="s">
        <v>69</v>
      </c>
      <c r="B194" s="498" t="s">
        <v>60</v>
      </c>
      <c r="C194" s="75"/>
      <c r="D194" s="293">
        <v>14</v>
      </c>
      <c r="E194" s="293">
        <v>8</v>
      </c>
      <c r="F194" s="293">
        <v>15</v>
      </c>
      <c r="G194" s="67"/>
      <c r="H194" s="67"/>
      <c r="I194" s="67"/>
      <c r="J194" s="67"/>
      <c r="K194" s="67"/>
      <c r="L194" s="67"/>
      <c r="M194" s="67"/>
      <c r="N194" s="255"/>
      <c r="O194" s="255"/>
    </row>
    <row r="195" spans="1:19" ht="27.6" customHeight="1">
      <c r="A195" s="77" t="s">
        <v>70</v>
      </c>
      <c r="B195" s="498"/>
      <c r="C195" s="75"/>
      <c r="D195" s="293">
        <v>195</v>
      </c>
      <c r="E195" s="293">
        <v>157</v>
      </c>
      <c r="F195" s="293">
        <v>187</v>
      </c>
      <c r="G195" s="67"/>
      <c r="H195" s="67"/>
      <c r="I195" s="67"/>
      <c r="J195" s="67"/>
      <c r="K195" s="67"/>
      <c r="L195" s="67"/>
      <c r="M195" s="67"/>
      <c r="N195" s="255"/>
      <c r="O195" s="255"/>
    </row>
    <row r="196" spans="1:19" ht="27.6" customHeight="1">
      <c r="A196" s="78" t="s">
        <v>71</v>
      </c>
      <c r="B196" s="498"/>
      <c r="C196" s="75"/>
      <c r="D196" s="293">
        <v>830</v>
      </c>
      <c r="E196" s="293">
        <v>813</v>
      </c>
      <c r="F196" s="293">
        <v>884</v>
      </c>
      <c r="G196" s="67"/>
      <c r="H196" s="67"/>
      <c r="I196" s="67"/>
      <c r="J196" s="67"/>
      <c r="K196" s="67"/>
      <c r="L196" s="67"/>
      <c r="M196" s="67"/>
      <c r="N196" s="255"/>
      <c r="O196" s="255"/>
    </row>
    <row r="197" spans="1:19" ht="27.6" customHeight="1">
      <c r="A197" s="79" t="s">
        <v>72</v>
      </c>
      <c r="B197" s="498"/>
      <c r="C197" s="75"/>
      <c r="D197" s="293">
        <v>1903</v>
      </c>
      <c r="E197" s="293">
        <v>1767</v>
      </c>
      <c r="F197" s="293">
        <v>2133</v>
      </c>
      <c r="G197" s="67"/>
      <c r="H197" s="67"/>
      <c r="I197" s="67"/>
      <c r="J197" s="67"/>
      <c r="K197" s="67"/>
      <c r="L197" s="67"/>
      <c r="M197" s="67"/>
      <c r="N197" s="255"/>
      <c r="O197" s="255"/>
    </row>
    <row r="198" spans="1:19" ht="27.6" customHeight="1">
      <c r="A198" s="80" t="s">
        <v>73</v>
      </c>
      <c r="B198" s="498"/>
      <c r="C198" s="75"/>
      <c r="D198" s="293">
        <v>83</v>
      </c>
      <c r="E198" s="293">
        <v>62</v>
      </c>
      <c r="F198" s="293">
        <v>58</v>
      </c>
      <c r="G198" s="67"/>
      <c r="H198" s="67"/>
      <c r="I198" s="67"/>
      <c r="J198" s="67"/>
      <c r="K198" s="67"/>
      <c r="L198" s="67"/>
      <c r="M198" s="67"/>
      <c r="N198" s="255"/>
      <c r="O198" s="255"/>
    </row>
    <row r="199" spans="1:19" ht="19.149999999999999" customHeight="1">
      <c r="A199" s="81" t="s">
        <v>59</v>
      </c>
      <c r="B199" s="498"/>
      <c r="C199" s="75"/>
      <c r="D199" s="68">
        <f t="shared" ref="D199:O199" si="77">SUM(D194:D198)</f>
        <v>3025</v>
      </c>
      <c r="E199" s="68">
        <f t="shared" si="77"/>
        <v>2807</v>
      </c>
      <c r="F199" s="68">
        <f t="shared" si="77"/>
        <v>3277</v>
      </c>
      <c r="G199" s="68">
        <f t="shared" si="77"/>
        <v>0</v>
      </c>
      <c r="H199" s="68">
        <f t="shared" si="77"/>
        <v>0</v>
      </c>
      <c r="I199" s="68">
        <f t="shared" si="77"/>
        <v>0</v>
      </c>
      <c r="J199" s="68">
        <f t="shared" si="77"/>
        <v>0</v>
      </c>
      <c r="K199" s="68">
        <f t="shared" si="77"/>
        <v>0</v>
      </c>
      <c r="L199" s="68">
        <f t="shared" si="77"/>
        <v>0</v>
      </c>
      <c r="M199" s="68">
        <f t="shared" si="77"/>
        <v>0</v>
      </c>
      <c r="N199" s="68">
        <f t="shared" si="77"/>
        <v>0</v>
      </c>
      <c r="O199" s="68">
        <f t="shared" si="77"/>
        <v>0</v>
      </c>
    </row>
    <row r="200" spans="1:19" ht="19.149999999999999" customHeight="1">
      <c r="A200" s="343"/>
      <c r="B200" s="372"/>
      <c r="C200" s="372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</row>
    <row r="201" spans="1:19" ht="63" customHeight="1">
      <c r="A201" s="366" t="s">
        <v>308</v>
      </c>
      <c r="B201" s="169" t="s">
        <v>309</v>
      </c>
      <c r="C201" s="367" t="s">
        <v>43</v>
      </c>
      <c r="D201" s="367" t="s">
        <v>44</v>
      </c>
      <c r="E201" s="367" t="s">
        <v>45</v>
      </c>
      <c r="F201" s="367" t="s">
        <v>46</v>
      </c>
      <c r="G201" s="368" t="s">
        <v>47</v>
      </c>
      <c r="H201" s="367" t="s">
        <v>48</v>
      </c>
      <c r="I201" s="367" t="s">
        <v>49</v>
      </c>
      <c r="J201" s="368" t="s">
        <v>50</v>
      </c>
      <c r="K201" s="368" t="s">
        <v>51</v>
      </c>
      <c r="L201" s="368" t="s">
        <v>52</v>
      </c>
      <c r="M201" s="367" t="s">
        <v>53</v>
      </c>
      <c r="N201" s="367" t="s">
        <v>54</v>
      </c>
      <c r="O201" s="368" t="s">
        <v>310</v>
      </c>
    </row>
    <row r="202" spans="1:19" ht="15.75" customHeight="1">
      <c r="A202" s="369" t="s">
        <v>311</v>
      </c>
      <c r="B202" s="502" t="s">
        <v>312</v>
      </c>
      <c r="C202" s="503"/>
      <c r="D202" s="503"/>
      <c r="E202" s="503"/>
      <c r="F202" s="503"/>
      <c r="G202" s="503"/>
      <c r="H202" s="503"/>
      <c r="I202" s="503"/>
      <c r="J202" s="503"/>
      <c r="K202" s="503"/>
      <c r="L202" s="503"/>
      <c r="M202" s="503"/>
      <c r="N202" s="503"/>
      <c r="O202" s="504"/>
    </row>
    <row r="203" spans="1:19" ht="15.75">
      <c r="A203" s="370" t="s">
        <v>313</v>
      </c>
      <c r="B203" s="341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371"/>
    </row>
    <row r="204" spans="1:19" ht="19.149999999999999" customHeight="1">
      <c r="A204" s="343"/>
      <c r="B204" s="372"/>
      <c r="C204" s="372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364"/>
    </row>
    <row r="205" spans="1:19" ht="23.45" customHeight="1">
      <c r="A205" s="218" t="s">
        <v>278</v>
      </c>
      <c r="B205" s="501" t="s">
        <v>60</v>
      </c>
      <c r="C205" s="214"/>
      <c r="D205" s="222" t="s">
        <v>43</v>
      </c>
      <c r="E205" s="222" t="s">
        <v>44</v>
      </c>
      <c r="F205" s="222" t="s">
        <v>45</v>
      </c>
      <c r="G205" s="222" t="s">
        <v>46</v>
      </c>
      <c r="H205" s="222" t="s">
        <v>47</v>
      </c>
      <c r="I205" s="222" t="s">
        <v>48</v>
      </c>
      <c r="J205" s="222" t="s">
        <v>49</v>
      </c>
      <c r="K205" s="222" t="s">
        <v>50</v>
      </c>
      <c r="L205" s="222" t="s">
        <v>51</v>
      </c>
      <c r="M205" s="222" t="s">
        <v>52</v>
      </c>
      <c r="N205" s="222" t="s">
        <v>53</v>
      </c>
      <c r="O205" s="222" t="s">
        <v>54</v>
      </c>
    </row>
    <row r="206" spans="1:19" ht="23.45" customHeight="1">
      <c r="A206" s="215" t="s">
        <v>279</v>
      </c>
      <c r="B206" s="501"/>
      <c r="C206" s="214"/>
      <c r="D206" s="317">
        <v>6</v>
      </c>
      <c r="E206" s="317">
        <v>3</v>
      </c>
      <c r="F206" s="317">
        <v>2</v>
      </c>
      <c r="G206" s="223"/>
      <c r="H206" s="223"/>
      <c r="I206" s="223"/>
      <c r="J206" s="223"/>
      <c r="K206" s="223"/>
      <c r="L206" s="223"/>
      <c r="M206" s="223"/>
      <c r="N206" s="258"/>
      <c r="O206" s="258"/>
    </row>
    <row r="207" spans="1:19" ht="23.45" customHeight="1">
      <c r="A207" s="215" t="s">
        <v>273</v>
      </c>
      <c r="B207" s="501"/>
      <c r="C207" s="214"/>
      <c r="D207" s="317">
        <v>2</v>
      </c>
      <c r="E207" s="317">
        <v>6</v>
      </c>
      <c r="F207" s="317">
        <v>5</v>
      </c>
      <c r="G207" s="223"/>
      <c r="H207" s="223"/>
      <c r="I207" s="223"/>
      <c r="J207" s="223"/>
      <c r="K207" s="223"/>
      <c r="L207" s="223"/>
      <c r="M207" s="223"/>
      <c r="N207" s="258"/>
      <c r="O207" s="258"/>
    </row>
    <row r="208" spans="1:19" ht="23.45" customHeight="1">
      <c r="A208" s="215" t="s">
        <v>280</v>
      </c>
      <c r="B208" s="501"/>
      <c r="C208" s="214"/>
      <c r="D208" s="317">
        <v>0</v>
      </c>
      <c r="E208" s="317">
        <v>1</v>
      </c>
      <c r="F208" s="317">
        <v>0</v>
      </c>
      <c r="G208" s="223"/>
      <c r="H208" s="223"/>
      <c r="I208" s="223"/>
      <c r="J208" s="223"/>
      <c r="K208" s="223"/>
      <c r="L208" s="223"/>
      <c r="M208" s="223"/>
      <c r="N208" s="258"/>
      <c r="O208" s="258"/>
    </row>
    <row r="209" spans="1:15" ht="23.45" customHeight="1">
      <c r="A209" s="215" t="s">
        <v>281</v>
      </c>
      <c r="B209" s="501"/>
      <c r="C209" s="214"/>
      <c r="D209" s="317">
        <v>0</v>
      </c>
      <c r="E209" s="317">
        <v>1</v>
      </c>
      <c r="F209" s="317">
        <v>1</v>
      </c>
      <c r="G209" s="223"/>
      <c r="H209" s="223"/>
      <c r="I209" s="223"/>
      <c r="J209" s="223"/>
      <c r="K209" s="223"/>
      <c r="L209" s="223"/>
      <c r="M209" s="223"/>
      <c r="N209" s="258"/>
      <c r="O209" s="258"/>
    </row>
    <row r="210" spans="1:15" ht="23.45" customHeight="1">
      <c r="A210" s="215" t="s">
        <v>282</v>
      </c>
      <c r="B210" s="501"/>
      <c r="C210" s="214"/>
      <c r="D210" s="317">
        <v>4</v>
      </c>
      <c r="E210" s="317">
        <v>6</v>
      </c>
      <c r="F210" s="317">
        <v>3</v>
      </c>
      <c r="G210" s="223"/>
      <c r="H210" s="223"/>
      <c r="I210" s="223"/>
      <c r="J210" s="223"/>
      <c r="K210" s="223"/>
      <c r="L210" s="223"/>
      <c r="M210" s="223"/>
      <c r="N210" s="258"/>
      <c r="O210" s="258"/>
    </row>
    <row r="211" spans="1:15" ht="23.45" customHeight="1">
      <c r="A211" s="216" t="s">
        <v>283</v>
      </c>
      <c r="B211" s="501"/>
      <c r="C211" s="214"/>
      <c r="D211" s="317">
        <v>0</v>
      </c>
      <c r="E211" s="317">
        <v>0</v>
      </c>
      <c r="F211" s="317">
        <v>0</v>
      </c>
      <c r="G211" s="223"/>
      <c r="H211" s="223"/>
      <c r="I211" s="223"/>
      <c r="J211" s="223"/>
      <c r="K211" s="223"/>
      <c r="L211" s="223"/>
      <c r="M211" s="223"/>
      <c r="N211" s="258"/>
      <c r="O211" s="258"/>
    </row>
    <row r="212" spans="1:15" ht="23.45" customHeight="1">
      <c r="A212" s="216" t="s">
        <v>284</v>
      </c>
      <c r="B212" s="501"/>
      <c r="C212" s="214"/>
      <c r="D212" s="317">
        <v>0</v>
      </c>
      <c r="E212" s="317">
        <v>1</v>
      </c>
      <c r="F212" s="317">
        <v>1</v>
      </c>
      <c r="G212" s="223"/>
      <c r="H212" s="223"/>
      <c r="I212" s="223"/>
      <c r="J212" s="223"/>
      <c r="K212" s="223"/>
      <c r="L212" s="223"/>
      <c r="M212" s="223"/>
      <c r="N212" s="258"/>
      <c r="O212" s="258"/>
    </row>
    <row r="213" spans="1:15" ht="23.45" customHeight="1">
      <c r="A213" s="218" t="s">
        <v>285</v>
      </c>
      <c r="B213" s="501"/>
      <c r="C213" s="214"/>
      <c r="D213" s="220">
        <f t="shared" ref="D213:O213" si="78">SUM(D206:D212,D168)</f>
        <v>14</v>
      </c>
      <c r="E213" s="220">
        <f t="shared" si="78"/>
        <v>19</v>
      </c>
      <c r="F213" s="220">
        <f t="shared" si="78"/>
        <v>15</v>
      </c>
      <c r="G213" s="220">
        <f t="shared" si="78"/>
        <v>0</v>
      </c>
      <c r="H213" s="220">
        <f t="shared" si="78"/>
        <v>0</v>
      </c>
      <c r="I213" s="220">
        <f t="shared" si="78"/>
        <v>0</v>
      </c>
      <c r="J213" s="220">
        <f t="shared" si="78"/>
        <v>0</v>
      </c>
      <c r="K213" s="220">
        <f t="shared" si="78"/>
        <v>0</v>
      </c>
      <c r="L213" s="220">
        <f t="shared" si="78"/>
        <v>0</v>
      </c>
      <c r="M213" s="220">
        <f t="shared" si="78"/>
        <v>0</v>
      </c>
      <c r="N213" s="220">
        <f t="shared" si="78"/>
        <v>0</v>
      </c>
      <c r="O213" s="220">
        <f t="shared" si="78"/>
        <v>0</v>
      </c>
    </row>
    <row r="214" spans="1:15" ht="31.15" customHeight="1">
      <c r="A214" s="218" t="s">
        <v>286</v>
      </c>
      <c r="B214" s="501"/>
      <c r="C214" s="217"/>
      <c r="D214" s="220">
        <f t="shared" ref="D214:O214" si="79">SUM(D213,D169)</f>
        <v>136</v>
      </c>
      <c r="E214" s="220">
        <f t="shared" si="79"/>
        <v>133</v>
      </c>
      <c r="F214" s="220">
        <f t="shared" si="79"/>
        <v>131</v>
      </c>
      <c r="G214" s="220">
        <f t="shared" si="79"/>
        <v>0</v>
      </c>
      <c r="H214" s="220">
        <f t="shared" si="79"/>
        <v>0</v>
      </c>
      <c r="I214" s="220">
        <f t="shared" si="79"/>
        <v>0</v>
      </c>
      <c r="J214" s="220">
        <f t="shared" si="79"/>
        <v>0</v>
      </c>
      <c r="K214" s="220">
        <f t="shared" si="79"/>
        <v>0</v>
      </c>
      <c r="L214" s="220">
        <f t="shared" si="79"/>
        <v>0</v>
      </c>
      <c r="M214" s="220">
        <f t="shared" si="79"/>
        <v>0</v>
      </c>
      <c r="N214" s="220">
        <f t="shared" si="79"/>
        <v>0</v>
      </c>
      <c r="O214" s="220">
        <f t="shared" si="79"/>
        <v>0</v>
      </c>
    </row>
    <row r="215" spans="1:15">
      <c r="A215" s="493"/>
      <c r="B215" s="493"/>
    </row>
    <row r="216" spans="1:15">
      <c r="A216" s="493"/>
      <c r="B216" s="493"/>
    </row>
    <row r="217" spans="1:15">
      <c r="A217" s="493"/>
      <c r="B217" s="493"/>
    </row>
  </sheetData>
  <mergeCells count="35">
    <mergeCell ref="V74:V81"/>
    <mergeCell ref="B84:B94"/>
    <mergeCell ref="B103:B114"/>
    <mergeCell ref="B123:B125"/>
    <mergeCell ref="P103:P114"/>
    <mergeCell ref="P84:P94"/>
    <mergeCell ref="P123:P125"/>
    <mergeCell ref="Q84:Q94"/>
    <mergeCell ref="Q103:Q114"/>
    <mergeCell ref="Q123:Q125"/>
    <mergeCell ref="B17:B23"/>
    <mergeCell ref="B27:B33"/>
    <mergeCell ref="B47:B53"/>
    <mergeCell ref="B57:B64"/>
    <mergeCell ref="P17:P24"/>
    <mergeCell ref="P27:P34"/>
    <mergeCell ref="P37:P44"/>
    <mergeCell ref="A1:S1"/>
    <mergeCell ref="A2:S2"/>
    <mergeCell ref="A3:Q3"/>
    <mergeCell ref="A9:Q9"/>
    <mergeCell ref="A15:B15"/>
    <mergeCell ref="A216:B216"/>
    <mergeCell ref="A217:B217"/>
    <mergeCell ref="B178:B181"/>
    <mergeCell ref="B37:B44"/>
    <mergeCell ref="B194:B199"/>
    <mergeCell ref="A215:B215"/>
    <mergeCell ref="B184:B188"/>
    <mergeCell ref="B172:B175"/>
    <mergeCell ref="B166:B169"/>
    <mergeCell ref="B205:B214"/>
    <mergeCell ref="B202:O202"/>
    <mergeCell ref="B74:B81"/>
    <mergeCell ref="A149:S149"/>
  </mergeCells>
  <phoneticPr fontId="36" type="noConversion"/>
  <pageMargins left="0.39370078740157483" right="0.19685039370078741" top="0.19685039370078741" bottom="0.19685039370078741" header="0" footer="0"/>
  <pageSetup paperSize="9" scale="70" fitToHeight="0" pageOrder="overThenDown" orientation="portrait" horizontalDpi="300" verticalDpi="300" r:id="rId1"/>
  <headerFooter differentFirst="1">
    <oddHeader>&amp;C&amp;"Arial,Normal"&amp;10&amp;Kffffff&amp;A</oddHeader>
    <oddFooter>&amp;C&amp;"Arial,Normal"&amp;10&amp;KffffffPágina &amp;P</oddFooter>
  </headerFooter>
  <rowBreaks count="5" manualBreakCount="5">
    <brk id="34" max="18" man="1"/>
    <brk id="72" max="18" man="1"/>
    <brk id="120" max="18" man="1"/>
    <brk id="163" max="18" man="1"/>
    <brk id="199" max="18" man="1"/>
  </rowBreaks>
  <ignoredErrors>
    <ignoredError sqref="R103:R1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175"/>
  <sheetViews>
    <sheetView tabSelected="1" view="pageBreakPreview" topLeftCell="A25" zoomScale="70" zoomScaleNormal="70" zoomScaleSheetLayoutView="70" workbookViewId="0">
      <selection activeCell="AB32" sqref="AB32"/>
    </sheetView>
  </sheetViews>
  <sheetFormatPr defaultColWidth="11.5703125" defaultRowHeight="14.25"/>
  <cols>
    <col min="1" max="1" width="54.28515625" style="8" customWidth="1"/>
    <col min="2" max="2" width="15" style="8" customWidth="1"/>
    <col min="3" max="3" width="12.28515625" style="8" hidden="1" customWidth="1"/>
    <col min="4" max="4" width="11.85546875" style="8" hidden="1" customWidth="1"/>
    <col min="5" max="6" width="12.85546875" style="8" hidden="1" customWidth="1"/>
    <col min="7" max="7" width="12.7109375" style="8" hidden="1" customWidth="1"/>
    <col min="8" max="8" width="14.5703125" style="8" hidden="1" customWidth="1"/>
    <col min="9" max="9" width="21.42578125" style="8" hidden="1" customWidth="1"/>
    <col min="10" max="10" width="14.7109375" style="8" hidden="1" customWidth="1"/>
    <col min="11" max="11" width="13.28515625" style="8" hidden="1" customWidth="1"/>
    <col min="12" max="12" width="17.28515625" style="8" bestFit="1" customWidth="1"/>
    <col min="13" max="13" width="17.7109375" style="8" bestFit="1" customWidth="1"/>
    <col min="14" max="14" width="17.28515625" style="8" bestFit="1" customWidth="1"/>
    <col min="15" max="19" width="12.140625" style="8" hidden="1" customWidth="1"/>
    <col min="20" max="20" width="12.5703125" style="8" hidden="1" customWidth="1"/>
    <col min="21" max="21" width="12.140625" style="8" hidden="1" customWidth="1"/>
    <col min="22" max="23" width="13" style="8" hidden="1" customWidth="1"/>
    <col min="24" max="1024" width="8.7109375" style="8" customWidth="1"/>
    <col min="1025" max="16384" width="11.5703125" style="8"/>
  </cols>
  <sheetData>
    <row r="1" spans="1:23" ht="65.25" customHeight="1">
      <c r="A1" s="448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 ht="23.25" customHeight="1">
      <c r="A2" s="447" t="s">
        <v>304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</row>
    <row r="3" spans="1:23" ht="26.25" customHeight="1">
      <c r="A3" s="9" t="s">
        <v>42</v>
      </c>
      <c r="B3" s="10" t="s">
        <v>248</v>
      </c>
      <c r="C3" s="9" t="s">
        <v>43</v>
      </c>
      <c r="D3" s="11" t="s">
        <v>44</v>
      </c>
      <c r="E3" s="10" t="s">
        <v>45</v>
      </c>
      <c r="F3" s="10" t="s">
        <v>46</v>
      </c>
      <c r="G3" s="10" t="s">
        <v>47</v>
      </c>
      <c r="H3" s="10" t="s">
        <v>48</v>
      </c>
      <c r="I3" s="10" t="s">
        <v>49</v>
      </c>
      <c r="J3" s="10" t="s">
        <v>50</v>
      </c>
      <c r="K3" s="10" t="s">
        <v>51</v>
      </c>
      <c r="L3" s="10" t="s">
        <v>265</v>
      </c>
      <c r="M3" s="10" t="s">
        <v>44</v>
      </c>
      <c r="N3" s="10" t="s">
        <v>45</v>
      </c>
      <c r="O3" s="10" t="s">
        <v>46</v>
      </c>
      <c r="P3" s="10" t="s">
        <v>47</v>
      </c>
      <c r="Q3" s="10" t="s">
        <v>48</v>
      </c>
      <c r="R3" s="10" t="s">
        <v>49</v>
      </c>
      <c r="S3" s="10" t="s">
        <v>50</v>
      </c>
      <c r="T3" s="10" t="s">
        <v>51</v>
      </c>
      <c r="U3" s="10" t="s">
        <v>52</v>
      </c>
      <c r="V3" s="10" t="s">
        <v>53</v>
      </c>
      <c r="W3" s="10" t="s">
        <v>54</v>
      </c>
    </row>
    <row r="4" spans="1:23" ht="38.450000000000003" customHeight="1">
      <c r="A4" s="9" t="str">
        <f>'Síntese '!B37</f>
        <v>1. Taxa de Ocupação Hospitalar (TOH)</v>
      </c>
      <c r="B4" s="450" t="str">
        <f>'Síntese '!D37</f>
        <v>≥85 %</v>
      </c>
      <c r="C4" s="27"/>
      <c r="D4" s="12"/>
      <c r="E4" s="28"/>
      <c r="F4" s="12"/>
      <c r="G4" s="12"/>
      <c r="H4" s="12"/>
      <c r="I4" s="12"/>
      <c r="J4" s="12"/>
      <c r="K4" s="13"/>
      <c r="L4" s="301">
        <f t="shared" ref="L4:W4" si="0">L5/L6</f>
        <v>0.93125330512956106</v>
      </c>
      <c r="M4" s="301">
        <f t="shared" si="0"/>
        <v>0.91861826697892268</v>
      </c>
      <c r="N4" s="301">
        <f t="shared" si="0"/>
        <v>0.8397673188789001</v>
      </c>
      <c r="O4" s="13" t="e">
        <f t="shared" si="0"/>
        <v>#DIV/0!</v>
      </c>
      <c r="P4" s="13" t="e">
        <f t="shared" si="0"/>
        <v>#DIV/0!</v>
      </c>
      <c r="Q4" s="13" t="e">
        <f t="shared" si="0"/>
        <v>#DIV/0!</v>
      </c>
      <c r="R4" s="13" t="e">
        <f t="shared" si="0"/>
        <v>#DIV/0!</v>
      </c>
      <c r="S4" s="13" t="e">
        <f t="shared" si="0"/>
        <v>#DIV/0!</v>
      </c>
      <c r="T4" s="13" t="e">
        <f t="shared" si="0"/>
        <v>#DIV/0!</v>
      </c>
      <c r="U4" s="13" t="e">
        <f>U5/U6</f>
        <v>#DIV/0!</v>
      </c>
      <c r="V4" s="13" t="e">
        <f t="shared" si="0"/>
        <v>#DIV/0!</v>
      </c>
      <c r="W4" s="280" t="e">
        <f t="shared" si="0"/>
        <v>#DIV/0!</v>
      </c>
    </row>
    <row r="5" spans="1:23" ht="38.450000000000003" customHeight="1">
      <c r="A5" s="276" t="s">
        <v>80</v>
      </c>
      <c r="B5" s="450"/>
      <c r="C5" s="15"/>
      <c r="D5" s="15"/>
      <c r="E5" s="29"/>
      <c r="F5" s="14"/>
      <c r="G5" s="15"/>
      <c r="H5" s="15"/>
      <c r="I5" s="15"/>
      <c r="J5" s="15"/>
      <c r="K5" s="14"/>
      <c r="L5" s="298">
        <v>1761</v>
      </c>
      <c r="M5" s="298">
        <v>1569</v>
      </c>
      <c r="N5" s="298">
        <v>1588</v>
      </c>
      <c r="O5" s="14"/>
      <c r="P5" s="14"/>
      <c r="Q5" s="14"/>
      <c r="R5" s="14"/>
      <c r="S5" s="14"/>
      <c r="T5" s="14"/>
      <c r="U5" s="14"/>
      <c r="V5" s="14"/>
      <c r="W5" s="281"/>
    </row>
    <row r="6" spans="1:23" ht="38.450000000000003" customHeight="1">
      <c r="A6" s="276" t="s">
        <v>288</v>
      </c>
      <c r="B6" s="450"/>
      <c r="C6" s="15"/>
      <c r="D6" s="15"/>
      <c r="E6" s="29"/>
      <c r="F6" s="15"/>
      <c r="G6" s="16"/>
      <c r="H6" s="16"/>
      <c r="I6" s="16"/>
      <c r="J6" s="16"/>
      <c r="K6" s="15"/>
      <c r="L6" s="299">
        <v>1891</v>
      </c>
      <c r="M6" s="299">
        <v>1708</v>
      </c>
      <c r="N6" s="299">
        <v>1891</v>
      </c>
      <c r="O6" s="15"/>
      <c r="P6" s="15"/>
      <c r="Q6" s="15"/>
      <c r="R6" s="15"/>
      <c r="S6" s="15"/>
      <c r="T6" s="15"/>
      <c r="U6" s="15"/>
      <c r="V6" s="15"/>
      <c r="W6" s="282"/>
    </row>
    <row r="7" spans="1:23" ht="24" hidden="1" customHeight="1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304"/>
      <c r="N7" s="429"/>
      <c r="O7" s="15"/>
      <c r="P7" s="15"/>
      <c r="Q7" s="15"/>
      <c r="R7" s="15"/>
      <c r="S7" s="15"/>
      <c r="T7" s="15"/>
      <c r="U7" s="15"/>
      <c r="V7" s="15"/>
      <c r="W7" s="282"/>
    </row>
    <row r="8" spans="1:23" ht="38.450000000000003" customHeight="1">
      <c r="A8" s="9" t="str">
        <f>'Síntese '!B38</f>
        <v>2. Taxa Média / Tempo Médio de Permanência Hospitalar (TMP)</v>
      </c>
      <c r="B8" s="450" t="s">
        <v>81</v>
      </c>
      <c r="C8" s="17"/>
      <c r="D8" s="17"/>
      <c r="E8" s="35"/>
      <c r="F8" s="17"/>
      <c r="G8" s="17"/>
      <c r="H8" s="17"/>
      <c r="I8" s="17"/>
      <c r="J8" s="17"/>
      <c r="K8" s="18"/>
      <c r="L8" s="300">
        <f t="shared" ref="L8:W8" si="1">L9/L10</f>
        <v>3.524</v>
      </c>
      <c r="M8" s="300">
        <f t="shared" si="1"/>
        <v>3.3031578947368421</v>
      </c>
      <c r="N8" s="300">
        <f t="shared" si="1"/>
        <v>3.1570576540755466</v>
      </c>
      <c r="O8" s="18" t="e">
        <f t="shared" si="1"/>
        <v>#DIV/0!</v>
      </c>
      <c r="P8" s="18" t="e">
        <f t="shared" si="1"/>
        <v>#DIV/0!</v>
      </c>
      <c r="Q8" s="18" t="e">
        <f t="shared" si="1"/>
        <v>#DIV/0!</v>
      </c>
      <c r="R8" s="18" t="e">
        <f t="shared" si="1"/>
        <v>#DIV/0!</v>
      </c>
      <c r="S8" s="18" t="e">
        <f t="shared" si="1"/>
        <v>#DIV/0!</v>
      </c>
      <c r="T8" s="18" t="e">
        <f t="shared" si="1"/>
        <v>#DIV/0!</v>
      </c>
      <c r="U8" s="18" t="e">
        <f t="shared" si="1"/>
        <v>#DIV/0!</v>
      </c>
      <c r="V8" s="18" t="e">
        <f t="shared" si="1"/>
        <v>#DIV/0!</v>
      </c>
      <c r="W8" s="283" t="e">
        <f t="shared" si="1"/>
        <v>#DIV/0!</v>
      </c>
    </row>
    <row r="9" spans="1:23" ht="38.450000000000003" customHeight="1">
      <c r="A9" s="276" t="s">
        <v>80</v>
      </c>
      <c r="B9" s="450"/>
      <c r="C9" s="15"/>
      <c r="D9" s="15"/>
      <c r="E9" s="29"/>
      <c r="F9" s="14"/>
      <c r="H9" s="14"/>
      <c r="I9" s="14"/>
      <c r="J9" s="15"/>
      <c r="K9" s="14"/>
      <c r="L9" s="298">
        <v>1762</v>
      </c>
      <c r="M9" s="298">
        <v>1569</v>
      </c>
      <c r="N9" s="298">
        <v>1588</v>
      </c>
      <c r="O9" s="14"/>
      <c r="P9" s="14"/>
      <c r="Q9" s="14"/>
      <c r="R9" s="14"/>
      <c r="S9" s="14"/>
      <c r="T9" s="14"/>
      <c r="U9" s="14"/>
      <c r="V9" s="14"/>
      <c r="W9" s="281"/>
    </row>
    <row r="10" spans="1:23" ht="38.450000000000003" customHeight="1">
      <c r="A10" s="276" t="s">
        <v>82</v>
      </c>
      <c r="B10" s="450"/>
      <c r="C10" s="15"/>
      <c r="D10" s="15"/>
      <c r="E10" s="29"/>
      <c r="F10" s="14"/>
      <c r="G10" s="14"/>
      <c r="H10" s="14"/>
      <c r="I10" s="14"/>
      <c r="J10" s="14"/>
      <c r="K10" s="14"/>
      <c r="L10" s="299">
        <f>'PRODUÇÃO - 2026'!D8</f>
        <v>500</v>
      </c>
      <c r="M10" s="299">
        <v>475</v>
      </c>
      <c r="N10" s="299">
        <v>503</v>
      </c>
      <c r="O10" s="15"/>
      <c r="P10" s="15"/>
      <c r="Q10" s="15"/>
      <c r="R10" s="15"/>
      <c r="S10" s="15"/>
      <c r="T10" s="15"/>
      <c r="U10" s="15"/>
      <c r="V10" s="15"/>
      <c r="W10" s="282"/>
    </row>
    <row r="11" spans="1:23" ht="24" hidden="1" customHeight="1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304"/>
      <c r="N11" s="429"/>
      <c r="O11" s="15"/>
      <c r="P11" s="15"/>
      <c r="Q11" s="15"/>
      <c r="R11" s="15"/>
      <c r="S11" s="15"/>
      <c r="T11" s="15"/>
      <c r="U11" s="15"/>
      <c r="V11" s="15"/>
      <c r="W11" s="282"/>
    </row>
    <row r="12" spans="1:23" ht="38.450000000000003" customHeight="1">
      <c r="A12" s="9" t="str">
        <f>'Síntese '!B39</f>
        <v>3. Índice de Intervalo de Substituição (Horas)</v>
      </c>
      <c r="B12" s="451" t="s">
        <v>108</v>
      </c>
      <c r="C12" s="38"/>
      <c r="D12" s="38"/>
      <c r="E12" s="35"/>
      <c r="F12" s="14"/>
      <c r="G12" s="14"/>
      <c r="H12" s="12"/>
      <c r="I12" s="12"/>
      <c r="J12" s="12"/>
      <c r="K12" s="13"/>
      <c r="L12" s="305">
        <f>(((100-93.13)*3.52)/93.13)*24</f>
        <v>6.2319080854719253</v>
      </c>
      <c r="M12" s="305">
        <f>(((100-91.86)*3.3)/91.86)*24</f>
        <v>7.0181580666231227</v>
      </c>
      <c r="N12" s="305">
        <f>(((100-83.98)*3.16)/83.98)*24</f>
        <v>14.467216003810426</v>
      </c>
      <c r="O12" s="305">
        <f t="shared" ref="O12:W12" si="2">(((100-93.13)*3.52)/93.13)*24</f>
        <v>6.2319080854719253</v>
      </c>
      <c r="P12" s="305">
        <f t="shared" si="2"/>
        <v>6.2319080854719253</v>
      </c>
      <c r="Q12" s="305">
        <f t="shared" si="2"/>
        <v>6.2319080854719253</v>
      </c>
      <c r="R12" s="305">
        <f t="shared" si="2"/>
        <v>6.2319080854719253</v>
      </c>
      <c r="S12" s="305">
        <f t="shared" si="2"/>
        <v>6.2319080854719253</v>
      </c>
      <c r="T12" s="305">
        <f t="shared" si="2"/>
        <v>6.2319080854719253</v>
      </c>
      <c r="U12" s="305">
        <f t="shared" si="2"/>
        <v>6.2319080854719253</v>
      </c>
      <c r="V12" s="305">
        <f t="shared" si="2"/>
        <v>6.2319080854719253</v>
      </c>
      <c r="W12" s="305">
        <f t="shared" si="2"/>
        <v>6.2319080854719253</v>
      </c>
    </row>
    <row r="13" spans="1:23" ht="38.450000000000003" customHeight="1">
      <c r="A13" s="276" t="s">
        <v>180</v>
      </c>
      <c r="B13" s="451"/>
      <c r="C13" s="39"/>
      <c r="D13" s="39"/>
      <c r="E13" s="40"/>
      <c r="F13" s="12"/>
      <c r="G13" s="12"/>
      <c r="H13" s="12"/>
      <c r="I13" s="12"/>
      <c r="J13" s="12"/>
      <c r="K13" s="12"/>
      <c r="L13" s="306">
        <f>L4</f>
        <v>0.93125330512956106</v>
      </c>
      <c r="M13" s="306">
        <f t="shared" ref="M13:W13" si="3">M4</f>
        <v>0.91861826697892268</v>
      </c>
      <c r="N13" s="433">
        <f t="shared" si="3"/>
        <v>0.8397673188789001</v>
      </c>
      <c r="O13" s="19" t="e">
        <f t="shared" si="3"/>
        <v>#DIV/0!</v>
      </c>
      <c r="P13" s="19" t="e">
        <f t="shared" si="3"/>
        <v>#DIV/0!</v>
      </c>
      <c r="Q13" s="19" t="e">
        <f t="shared" si="3"/>
        <v>#DIV/0!</v>
      </c>
      <c r="R13" s="19" t="e">
        <f t="shared" si="3"/>
        <v>#DIV/0!</v>
      </c>
      <c r="S13" s="19" t="e">
        <f t="shared" si="3"/>
        <v>#DIV/0!</v>
      </c>
      <c r="T13" s="19" t="e">
        <f t="shared" si="3"/>
        <v>#DIV/0!</v>
      </c>
      <c r="U13" s="19" t="e">
        <f t="shared" si="3"/>
        <v>#DIV/0!</v>
      </c>
      <c r="V13" s="19" t="e">
        <f t="shared" si="3"/>
        <v>#DIV/0!</v>
      </c>
      <c r="W13" s="284" t="e">
        <f t="shared" si="3"/>
        <v>#DIV/0!</v>
      </c>
    </row>
    <row r="14" spans="1:23" ht="38.450000000000003" customHeight="1">
      <c r="A14" s="276" t="s">
        <v>83</v>
      </c>
      <c r="B14" s="451"/>
      <c r="C14" s="38"/>
      <c r="D14" s="38"/>
      <c r="E14" s="43"/>
      <c r="F14" s="17"/>
      <c r="G14" s="14"/>
      <c r="H14" s="12"/>
      <c r="I14" s="14"/>
      <c r="J14" s="12"/>
      <c r="K14" s="14"/>
      <c r="L14" s="307">
        <f>L8</f>
        <v>3.524</v>
      </c>
      <c r="M14" s="307">
        <f t="shared" ref="M14:W14" si="4">M8</f>
        <v>3.3031578947368421</v>
      </c>
      <c r="N14" s="307">
        <f t="shared" si="4"/>
        <v>3.1570576540755466</v>
      </c>
      <c r="O14" s="17" t="e">
        <f t="shared" si="4"/>
        <v>#DIV/0!</v>
      </c>
      <c r="P14" s="17" t="e">
        <f t="shared" si="4"/>
        <v>#DIV/0!</v>
      </c>
      <c r="Q14" s="17" t="e">
        <f t="shared" si="4"/>
        <v>#DIV/0!</v>
      </c>
      <c r="R14" s="17" t="e">
        <f t="shared" si="4"/>
        <v>#DIV/0!</v>
      </c>
      <c r="S14" s="17" t="e">
        <f t="shared" si="4"/>
        <v>#DIV/0!</v>
      </c>
      <c r="T14" s="17" t="e">
        <f t="shared" si="4"/>
        <v>#DIV/0!</v>
      </c>
      <c r="U14" s="17" t="e">
        <f t="shared" si="4"/>
        <v>#DIV/0!</v>
      </c>
      <c r="V14" s="17" t="e">
        <f t="shared" si="4"/>
        <v>#DIV/0!</v>
      </c>
      <c r="W14" s="285" t="e">
        <f t="shared" si="4"/>
        <v>#DIV/0!</v>
      </c>
    </row>
    <row r="15" spans="1:23" ht="24" hidden="1" customHeight="1">
      <c r="A15" s="237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304"/>
      <c r="N15" s="429"/>
      <c r="O15" s="15"/>
      <c r="P15" s="15"/>
      <c r="Q15" s="15"/>
      <c r="R15" s="15"/>
      <c r="S15" s="15"/>
      <c r="T15" s="15"/>
      <c r="U15" s="15"/>
      <c r="V15" s="15"/>
      <c r="W15" s="282"/>
    </row>
    <row r="16" spans="1:23" ht="38.450000000000003" customHeight="1">
      <c r="A16" s="9" t="str">
        <f>'Síntese '!B40</f>
        <v>4. Taxa de readmissão em UTI (48h)</v>
      </c>
      <c r="B16" s="452" t="s">
        <v>27</v>
      </c>
      <c r="C16" s="19"/>
      <c r="D16" s="19"/>
      <c r="E16" s="40"/>
      <c r="F16" s="12"/>
      <c r="G16" s="12"/>
      <c r="H16" s="12"/>
      <c r="I16" s="12"/>
      <c r="J16" s="12"/>
      <c r="K16" s="12"/>
      <c r="L16" s="301">
        <f>L17/L18</f>
        <v>4.4444444444444446E-2</v>
      </c>
      <c r="M16" s="301">
        <f t="shared" ref="M16:W16" si="5">M17/M18</f>
        <v>3.0303030303030304E-2</v>
      </c>
      <c r="N16" s="301">
        <f t="shared" si="5"/>
        <v>0</v>
      </c>
      <c r="O16" s="13" t="e">
        <f t="shared" si="5"/>
        <v>#DIV/0!</v>
      </c>
      <c r="P16" s="13" t="e">
        <f t="shared" si="5"/>
        <v>#DIV/0!</v>
      </c>
      <c r="Q16" s="13" t="e">
        <f t="shared" si="5"/>
        <v>#DIV/0!</v>
      </c>
      <c r="R16" s="13" t="e">
        <f t="shared" si="5"/>
        <v>#DIV/0!</v>
      </c>
      <c r="S16" s="13" t="e">
        <f t="shared" si="5"/>
        <v>#DIV/0!</v>
      </c>
      <c r="T16" s="13" t="e">
        <f t="shared" si="5"/>
        <v>#DIV/0!</v>
      </c>
      <c r="U16" s="13" t="e">
        <f>U17/U18</f>
        <v>#DIV/0!</v>
      </c>
      <c r="V16" s="13" t="e">
        <f t="shared" si="5"/>
        <v>#DIV/0!</v>
      </c>
      <c r="W16" s="280" t="e">
        <f t="shared" si="5"/>
        <v>#DIV/0!</v>
      </c>
    </row>
    <row r="17" spans="1:34" ht="38.450000000000003" customHeight="1">
      <c r="A17" s="276" t="s">
        <v>84</v>
      </c>
      <c r="B17" s="452"/>
      <c r="C17" s="20"/>
      <c r="D17" s="20"/>
      <c r="E17" s="46"/>
      <c r="F17" s="14"/>
      <c r="G17" s="14"/>
      <c r="H17" s="14"/>
      <c r="I17" s="12"/>
      <c r="J17" s="14"/>
      <c r="K17" s="14"/>
      <c r="L17" s="298">
        <v>2</v>
      </c>
      <c r="M17" s="298">
        <v>1</v>
      </c>
      <c r="N17" s="298">
        <v>0</v>
      </c>
      <c r="O17" s="14"/>
      <c r="P17" s="14"/>
      <c r="Q17" s="14"/>
      <c r="R17" s="14"/>
      <c r="S17" s="14"/>
      <c r="T17" s="14"/>
      <c r="U17" s="14"/>
      <c r="V17" s="14"/>
      <c r="W17" s="281"/>
      <c r="Y17" s="47"/>
      <c r="Z17" s="26"/>
    </row>
    <row r="18" spans="1:34" ht="38.450000000000003" customHeight="1">
      <c r="A18" s="276" t="s">
        <v>85</v>
      </c>
      <c r="B18" s="452"/>
      <c r="C18" s="20"/>
      <c r="D18" s="20"/>
      <c r="E18" s="46"/>
      <c r="F18" s="14"/>
      <c r="G18" s="14"/>
      <c r="H18" s="14"/>
      <c r="I18" s="14"/>
      <c r="J18" s="16"/>
      <c r="K18" s="14"/>
      <c r="L18" s="298">
        <v>45</v>
      </c>
      <c r="M18" s="298">
        <v>33</v>
      </c>
      <c r="N18" s="298">
        <v>44</v>
      </c>
      <c r="O18" s="14"/>
      <c r="P18" s="14"/>
      <c r="Q18" s="14"/>
      <c r="R18" s="14"/>
      <c r="S18" s="14"/>
      <c r="T18" s="14"/>
      <c r="U18" s="14"/>
      <c r="V18" s="14"/>
      <c r="W18" s="281"/>
      <c r="Y18" s="47"/>
      <c r="Z18" s="26"/>
      <c r="AD18" s="33"/>
      <c r="AE18" s="34"/>
      <c r="AF18" s="34"/>
      <c r="AG18" s="34"/>
    </row>
    <row r="19" spans="1:34" ht="24" hidden="1" customHeight="1">
      <c r="A19" s="237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304"/>
      <c r="N19" s="429"/>
      <c r="O19" s="15"/>
      <c r="P19" s="15"/>
      <c r="Q19" s="15"/>
      <c r="R19" s="15"/>
      <c r="S19" s="15"/>
      <c r="T19" s="15"/>
      <c r="U19" s="15"/>
      <c r="V19" s="15"/>
      <c r="W19" s="282"/>
    </row>
    <row r="20" spans="1:34" ht="38.450000000000003" customHeight="1">
      <c r="A20" s="9" t="str">
        <f>'Síntese '!B41</f>
        <v>5. Taxa de readmissão hospitalar (29d)</v>
      </c>
      <c r="B20" s="452" t="s">
        <v>86</v>
      </c>
      <c r="C20" s="19"/>
      <c r="D20" s="19"/>
      <c r="E20" s="40"/>
      <c r="F20" s="12"/>
      <c r="G20" s="12"/>
      <c r="H20" s="21"/>
      <c r="I20" s="12"/>
      <c r="J20" s="12"/>
      <c r="K20" s="12"/>
      <c r="L20" s="301">
        <f>L21/L22</f>
        <v>4.7138047138047139E-2</v>
      </c>
      <c r="M20" s="301">
        <f t="shared" ref="M20:W20" si="6">M21/M22</f>
        <v>5.0445103857566766E-2</v>
      </c>
      <c r="N20" s="301">
        <f t="shared" si="6"/>
        <v>4.960835509138381E-2</v>
      </c>
      <c r="O20" s="13" t="e">
        <f t="shared" si="6"/>
        <v>#DIV/0!</v>
      </c>
      <c r="P20" s="13" t="e">
        <f t="shared" si="6"/>
        <v>#DIV/0!</v>
      </c>
      <c r="Q20" s="13" t="e">
        <f t="shared" si="6"/>
        <v>#DIV/0!</v>
      </c>
      <c r="R20" s="13" t="e">
        <f t="shared" si="6"/>
        <v>#DIV/0!</v>
      </c>
      <c r="S20" s="13" t="e">
        <f t="shared" si="6"/>
        <v>#DIV/0!</v>
      </c>
      <c r="T20" s="13" t="e">
        <f t="shared" si="6"/>
        <v>#DIV/0!</v>
      </c>
      <c r="U20" s="13" t="e">
        <f t="shared" si="6"/>
        <v>#DIV/0!</v>
      </c>
      <c r="V20" s="13" t="e">
        <f t="shared" si="6"/>
        <v>#DIV/0!</v>
      </c>
      <c r="W20" s="280" t="e">
        <f t="shared" si="6"/>
        <v>#DIV/0!</v>
      </c>
      <c r="Y20" s="47"/>
      <c r="Z20" s="26"/>
      <c r="AD20" s="33"/>
      <c r="AE20" s="34"/>
      <c r="AF20" s="34"/>
      <c r="AG20" s="34"/>
    </row>
    <row r="21" spans="1:34" ht="38.450000000000003" customHeight="1">
      <c r="A21" s="276" t="s">
        <v>87</v>
      </c>
      <c r="B21" s="452"/>
      <c r="C21" s="20"/>
      <c r="D21" s="20"/>
      <c r="E21" s="48"/>
      <c r="F21" s="22"/>
      <c r="G21" s="14"/>
      <c r="H21" s="12"/>
      <c r="I21" s="14"/>
      <c r="J21" s="23"/>
      <c r="K21" s="14"/>
      <c r="L21" s="298">
        <v>14</v>
      </c>
      <c r="M21" s="298">
        <v>17</v>
      </c>
      <c r="N21" s="298">
        <v>19</v>
      </c>
      <c r="O21" s="14"/>
      <c r="P21" s="14"/>
      <c r="Q21" s="14"/>
      <c r="R21" s="14"/>
      <c r="S21" s="14"/>
      <c r="T21" s="14"/>
      <c r="U21" s="14"/>
      <c r="V21" s="14"/>
      <c r="W21" s="281"/>
      <c r="Y21" s="49"/>
      <c r="Z21" s="26"/>
      <c r="AA21" s="36"/>
      <c r="AB21" s="36"/>
      <c r="AC21" s="36"/>
      <c r="AD21" s="37"/>
      <c r="AE21" s="37"/>
      <c r="AF21" s="37"/>
      <c r="AG21" s="37"/>
      <c r="AH21" s="26"/>
    </row>
    <row r="22" spans="1:34" ht="38.450000000000003" customHeight="1">
      <c r="A22" s="276" t="s">
        <v>88</v>
      </c>
      <c r="B22" s="452"/>
      <c r="C22" s="20"/>
      <c r="D22" s="20"/>
      <c r="E22" s="46"/>
      <c r="F22" s="14"/>
      <c r="G22" s="14"/>
      <c r="H22" s="16"/>
      <c r="I22" s="16"/>
      <c r="J22" s="14"/>
      <c r="K22" s="14"/>
      <c r="L22" s="298">
        <v>297</v>
      </c>
      <c r="M22" s="298">
        <v>337</v>
      </c>
      <c r="N22" s="298">
        <v>383</v>
      </c>
      <c r="O22" s="14"/>
      <c r="P22" s="14"/>
      <c r="Q22" s="14"/>
      <c r="R22" s="14"/>
      <c r="S22" s="14"/>
      <c r="T22" s="14"/>
      <c r="U22" s="14"/>
      <c r="V22" s="14"/>
      <c r="W22" s="281"/>
      <c r="Y22" s="47"/>
      <c r="Z22" s="26"/>
    </row>
    <row r="23" spans="1:34" ht="24" hidden="1" customHeight="1">
      <c r="A23" s="237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304"/>
      <c r="N23" s="429"/>
      <c r="O23" s="15"/>
      <c r="P23" s="15"/>
      <c r="Q23" s="15"/>
      <c r="R23" s="15"/>
      <c r="S23" s="15"/>
      <c r="T23" s="15"/>
      <c r="U23" s="15"/>
      <c r="V23" s="15"/>
      <c r="W23" s="15"/>
    </row>
    <row r="24" spans="1:34" ht="45">
      <c r="A24" s="9" t="str">
        <f>'Síntese '!B42</f>
        <v>6. Percentual de ocorrência de glosas no SIH -Datasus (exceto por motivo de habilitaçaõ e capacidade instalada)</v>
      </c>
      <c r="B24" s="452" t="s">
        <v>110</v>
      </c>
      <c r="C24" s="39"/>
      <c r="D24" s="40"/>
      <c r="E24" s="39"/>
      <c r="F24" s="39"/>
      <c r="G24" s="23"/>
      <c r="H24" s="12"/>
      <c r="I24" s="82"/>
      <c r="J24" s="12"/>
      <c r="K24" s="14"/>
      <c r="L24" s="301">
        <f t="shared" ref="L24:T24" si="7">L25/L26</f>
        <v>0</v>
      </c>
      <c r="M24" s="301">
        <f t="shared" si="7"/>
        <v>0</v>
      </c>
      <c r="N24" s="301" t="e">
        <f t="shared" si="7"/>
        <v>#VALUE!</v>
      </c>
      <c r="O24" s="13" t="e">
        <f t="shared" si="7"/>
        <v>#DIV/0!</v>
      </c>
      <c r="P24" s="13" t="e">
        <f t="shared" si="7"/>
        <v>#DIV/0!</v>
      </c>
      <c r="Q24" s="13" t="e">
        <f t="shared" si="7"/>
        <v>#DIV/0!</v>
      </c>
      <c r="R24" s="13" t="e">
        <f t="shared" si="7"/>
        <v>#DIV/0!</v>
      </c>
      <c r="S24" s="13" t="e">
        <f t="shared" si="7"/>
        <v>#DIV/0!</v>
      </c>
      <c r="T24" s="13" t="e">
        <f t="shared" si="7"/>
        <v>#DIV/0!</v>
      </c>
      <c r="U24" s="13" t="e">
        <f>U25/U26</f>
        <v>#DIV/0!</v>
      </c>
      <c r="V24" s="280" t="e">
        <f>V25/V26</f>
        <v>#DIV/0!</v>
      </c>
      <c r="W24" s="280" t="e">
        <f>W25/W26</f>
        <v>#DIV/0!</v>
      </c>
      <c r="Y24" s="47"/>
      <c r="Z24" s="26"/>
      <c r="AA24" s="34"/>
      <c r="AB24" s="34"/>
    </row>
    <row r="25" spans="1:34" ht="38.450000000000003" customHeight="1">
      <c r="A25" s="276" t="s">
        <v>89</v>
      </c>
      <c r="B25" s="452"/>
      <c r="C25" s="50"/>
      <c r="D25" s="51"/>
      <c r="E25" s="24"/>
      <c r="F25" s="24"/>
      <c r="G25" s="12"/>
      <c r="H25" s="12"/>
      <c r="I25" s="12"/>
      <c r="J25" s="23"/>
      <c r="K25" s="14"/>
      <c r="L25" s="298">
        <v>0</v>
      </c>
      <c r="M25" s="298">
        <v>0</v>
      </c>
      <c r="N25" s="298" t="s">
        <v>185</v>
      </c>
      <c r="O25" s="14"/>
      <c r="P25" s="14"/>
      <c r="Q25" s="14"/>
      <c r="R25" s="14"/>
      <c r="S25" s="14"/>
      <c r="T25" s="14"/>
      <c r="U25" s="14"/>
      <c r="V25" s="281"/>
      <c r="W25" s="281"/>
      <c r="Y25" s="47"/>
      <c r="Z25" s="26"/>
      <c r="AA25" s="34"/>
      <c r="AB25" s="34"/>
    </row>
    <row r="26" spans="1:34" ht="38.450000000000003" customHeight="1">
      <c r="A26" s="276" t="s">
        <v>90</v>
      </c>
      <c r="B26" s="452"/>
      <c r="C26" s="50"/>
      <c r="D26" s="51"/>
      <c r="E26" s="22"/>
      <c r="F26" s="14"/>
      <c r="G26" s="14"/>
      <c r="H26" s="16"/>
      <c r="I26" s="16"/>
      <c r="J26" s="14"/>
      <c r="K26" s="14"/>
      <c r="L26" s="298">
        <v>459</v>
      </c>
      <c r="M26" s="298">
        <v>314</v>
      </c>
      <c r="N26" s="298" t="s">
        <v>185</v>
      </c>
      <c r="O26" s="14"/>
      <c r="P26" s="14"/>
      <c r="Q26" s="14"/>
      <c r="R26" s="14"/>
      <c r="S26" s="14"/>
      <c r="T26" s="14"/>
      <c r="U26" s="14"/>
      <c r="V26" s="281"/>
      <c r="W26" s="281"/>
      <c r="Y26" s="49"/>
      <c r="Z26" s="26"/>
      <c r="AA26" s="52"/>
      <c r="AB26" s="26"/>
      <c r="AC26" s="26"/>
      <c r="AD26" s="26"/>
      <c r="AE26" s="26"/>
      <c r="AF26" s="42"/>
      <c r="AG26" s="26"/>
      <c r="AH26" s="26"/>
    </row>
    <row r="27" spans="1:34" ht="24" hidden="1" customHeight="1">
      <c r="A27" s="243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400"/>
      <c r="N27" s="430"/>
      <c r="O27" s="245"/>
      <c r="P27" s="245"/>
      <c r="Q27" s="245"/>
      <c r="R27" s="245"/>
      <c r="S27" s="245"/>
      <c r="T27" s="15"/>
      <c r="U27" s="15"/>
      <c r="V27" s="15"/>
      <c r="W27" s="15"/>
    </row>
    <row r="28" spans="1:34" ht="38.450000000000003" customHeight="1">
      <c r="A28" s="9" t="str">
        <f>'Síntese '!B43</f>
        <v>7. Percentual de suspensão de cirurgias eletivas por condições operacionais</v>
      </c>
      <c r="B28" s="451" t="str">
        <f>'Síntese '!D43</f>
        <v>≤5%</v>
      </c>
      <c r="C28" s="39"/>
      <c r="D28" s="39"/>
      <c r="E28" s="53"/>
      <c r="F28" s="12"/>
      <c r="G28" s="12"/>
      <c r="H28" s="12"/>
      <c r="I28" s="12"/>
      <c r="J28" s="12"/>
      <c r="K28" s="12"/>
      <c r="L28" s="301">
        <f>L29/L30</f>
        <v>0</v>
      </c>
      <c r="M28" s="301">
        <f>M29/L30</f>
        <v>0</v>
      </c>
      <c r="N28" s="301">
        <f t="shared" ref="N28:W28" si="8">N29/N30</f>
        <v>0</v>
      </c>
      <c r="O28" s="13" t="e">
        <f t="shared" si="8"/>
        <v>#DIV/0!</v>
      </c>
      <c r="P28" s="13" t="e">
        <f t="shared" si="8"/>
        <v>#DIV/0!</v>
      </c>
      <c r="Q28" s="13" t="e">
        <f t="shared" si="8"/>
        <v>#DIV/0!</v>
      </c>
      <c r="R28" s="13" t="e">
        <f t="shared" si="8"/>
        <v>#DIV/0!</v>
      </c>
      <c r="S28" s="13" t="e">
        <f t="shared" si="8"/>
        <v>#DIV/0!</v>
      </c>
      <c r="T28" s="249" t="e">
        <f t="shared" si="8"/>
        <v>#DIV/0!</v>
      </c>
      <c r="U28" s="13" t="e">
        <f t="shared" si="8"/>
        <v>#DIV/0!</v>
      </c>
      <c r="V28" s="13" t="e">
        <f t="shared" si="8"/>
        <v>#DIV/0!</v>
      </c>
      <c r="W28" s="280" t="e">
        <f t="shared" si="8"/>
        <v>#DIV/0!</v>
      </c>
      <c r="Y28" s="47"/>
      <c r="Z28" s="26"/>
      <c r="AA28" s="25"/>
      <c r="AB28" s="33"/>
      <c r="AC28" s="45"/>
      <c r="AD28" s="45"/>
    </row>
    <row r="29" spans="1:34" ht="38.450000000000003" customHeight="1">
      <c r="A29" s="276" t="s">
        <v>179</v>
      </c>
      <c r="B29" s="451"/>
      <c r="C29" s="50"/>
      <c r="D29" s="50"/>
      <c r="E29" s="54"/>
      <c r="F29" s="54"/>
      <c r="G29" s="54"/>
      <c r="H29" s="54"/>
      <c r="I29" s="16"/>
      <c r="J29" s="16"/>
      <c r="K29" s="14"/>
      <c r="L29" s="298">
        <v>0</v>
      </c>
      <c r="M29" s="298">
        <v>0</v>
      </c>
      <c r="N29" s="298">
        <v>0</v>
      </c>
      <c r="O29" s="14"/>
      <c r="P29" s="14"/>
      <c r="Q29" s="14"/>
      <c r="R29" s="14"/>
      <c r="S29" s="14"/>
      <c r="T29" s="156"/>
      <c r="U29" s="14"/>
      <c r="V29" s="14"/>
      <c r="W29" s="281"/>
      <c r="Y29" s="47"/>
      <c r="Z29" s="26"/>
      <c r="AA29" s="25"/>
      <c r="AB29" s="33"/>
      <c r="AC29" s="45"/>
      <c r="AD29" s="45"/>
    </row>
    <row r="30" spans="1:34" ht="38.450000000000003" customHeight="1">
      <c r="A30" s="276" t="s">
        <v>91</v>
      </c>
      <c r="B30" s="451"/>
      <c r="C30" s="50"/>
      <c r="D30" s="50"/>
      <c r="E30" s="54"/>
      <c r="F30" s="14"/>
      <c r="G30" s="14"/>
      <c r="H30" s="14"/>
      <c r="I30" s="16"/>
      <c r="J30" s="14"/>
      <c r="K30" s="14"/>
      <c r="L30" s="299">
        <v>64</v>
      </c>
      <c r="M30" s="299">
        <v>67</v>
      </c>
      <c r="N30" s="299">
        <v>77</v>
      </c>
      <c r="O30" s="15"/>
      <c r="P30" s="15"/>
      <c r="Q30" s="15"/>
      <c r="R30" s="15"/>
      <c r="S30" s="15"/>
      <c r="T30" s="250"/>
      <c r="U30" s="15"/>
      <c r="V30" s="15"/>
      <c r="W30" s="282"/>
      <c r="Y30" s="49"/>
      <c r="Z30" s="26"/>
      <c r="AA30" s="55"/>
      <c r="AB30" s="30"/>
      <c r="AC30" s="31"/>
      <c r="AD30" s="31"/>
      <c r="AE30" s="31"/>
      <c r="AF30" s="31"/>
      <c r="AG30" s="31"/>
      <c r="AH30" s="26"/>
    </row>
    <row r="31" spans="1:34" ht="24" hidden="1" customHeight="1">
      <c r="A31" s="246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401"/>
      <c r="N31" s="431"/>
      <c r="O31" s="248"/>
      <c r="P31" s="248"/>
      <c r="Q31" s="248"/>
      <c r="R31" s="248"/>
      <c r="S31" s="248"/>
      <c r="T31" s="15"/>
      <c r="U31" s="15"/>
      <c r="V31" s="15"/>
      <c r="W31" s="282"/>
    </row>
    <row r="32" spans="1:34" ht="45">
      <c r="A32" s="106" t="str">
        <f>'Síntese '!B44</f>
        <v>8. Percentual de cirurgias eletivas realizadas com TMAT (Tempo máximo aceitável para tratamento) expirado (↓) para o primeiro ano-</v>
      </c>
      <c r="B32" s="451" t="str">
        <f>'Síntese '!D44</f>
        <v>&lt; 25%</v>
      </c>
      <c r="C32" s="110"/>
      <c r="D32" s="39"/>
      <c r="E32" s="40"/>
      <c r="F32" s="12"/>
      <c r="G32" s="12"/>
      <c r="H32" s="12"/>
      <c r="I32" s="12"/>
      <c r="J32" s="12"/>
      <c r="K32" s="12"/>
      <c r="L32" s="301" t="e">
        <f>L33/L34</f>
        <v>#VALUE!</v>
      </c>
      <c r="M32" s="301" t="e">
        <f t="shared" ref="M32:W32" si="9">M33/M34</f>
        <v>#VALUE!</v>
      </c>
      <c r="N32" s="301" t="e">
        <f>N33/N34</f>
        <v>#VALUE!</v>
      </c>
      <c r="O32" s="13" t="e">
        <f>O33/O34</f>
        <v>#DIV/0!</v>
      </c>
      <c r="P32" s="13" t="e">
        <f t="shared" si="9"/>
        <v>#DIV/0!</v>
      </c>
      <c r="Q32" s="13" t="e">
        <f t="shared" si="9"/>
        <v>#DIV/0!</v>
      </c>
      <c r="R32" s="13" t="e">
        <f t="shared" si="9"/>
        <v>#DIV/0!</v>
      </c>
      <c r="S32" s="13" t="e">
        <f t="shared" si="9"/>
        <v>#DIV/0!</v>
      </c>
      <c r="T32" s="13" t="e">
        <f t="shared" si="9"/>
        <v>#DIV/0!</v>
      </c>
      <c r="U32" s="13" t="e">
        <f t="shared" si="9"/>
        <v>#DIV/0!</v>
      </c>
      <c r="V32" s="13" t="e">
        <f t="shared" si="9"/>
        <v>#DIV/0!</v>
      </c>
      <c r="W32" s="280" t="e">
        <f t="shared" si="9"/>
        <v>#DIV/0!</v>
      </c>
      <c r="Y32" s="47"/>
      <c r="Z32" s="26"/>
    </row>
    <row r="33" spans="1:34" ht="38.450000000000003" customHeight="1">
      <c r="A33" s="277" t="s">
        <v>173</v>
      </c>
      <c r="B33" s="451"/>
      <c r="C33" s="107"/>
      <c r="D33" s="107"/>
      <c r="E33" s="108"/>
      <c r="F33" s="109"/>
      <c r="G33" s="109"/>
      <c r="H33" s="109"/>
      <c r="I33" s="109"/>
      <c r="J33" s="109"/>
      <c r="K33" s="109"/>
      <c r="L33" s="298" t="s">
        <v>185</v>
      </c>
      <c r="M33" s="298" t="s">
        <v>185</v>
      </c>
      <c r="N33" s="298" t="s">
        <v>185</v>
      </c>
      <c r="O33" s="14"/>
      <c r="P33" s="14"/>
      <c r="Q33" s="14"/>
      <c r="R33" s="14"/>
      <c r="S33" s="14"/>
      <c r="T33" s="14"/>
      <c r="U33" s="14"/>
      <c r="V33" s="14"/>
      <c r="W33" s="281"/>
      <c r="Y33" s="47"/>
      <c r="Z33" s="26"/>
    </row>
    <row r="34" spans="1:34" ht="38.450000000000003" customHeight="1">
      <c r="A34" s="277" t="s">
        <v>174</v>
      </c>
      <c r="B34" s="451"/>
      <c r="C34" s="107"/>
      <c r="D34" s="107"/>
      <c r="E34" s="108"/>
      <c r="F34" s="109"/>
      <c r="G34" s="109"/>
      <c r="H34" s="109"/>
      <c r="I34" s="109"/>
      <c r="J34" s="109"/>
      <c r="K34" s="109"/>
      <c r="L34" s="298" t="s">
        <v>185</v>
      </c>
      <c r="M34" s="298" t="s">
        <v>185</v>
      </c>
      <c r="N34" s="298" t="s">
        <v>185</v>
      </c>
      <c r="O34" s="14"/>
      <c r="P34" s="14"/>
      <c r="Q34" s="14"/>
      <c r="R34" s="14"/>
      <c r="S34" s="14"/>
      <c r="T34" s="14"/>
      <c r="U34" s="14"/>
      <c r="V34" s="14"/>
      <c r="W34" s="281"/>
      <c r="Y34" s="47"/>
      <c r="Z34" s="26"/>
    </row>
    <row r="35" spans="1:34" ht="24" hidden="1" customHeight="1">
      <c r="A35" s="237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304"/>
      <c r="N35" s="239"/>
      <c r="O35" s="15"/>
      <c r="P35" s="15"/>
      <c r="Q35" s="15"/>
      <c r="R35" s="15"/>
      <c r="S35" s="15"/>
      <c r="T35" s="15"/>
      <c r="U35" s="15"/>
      <c r="V35" s="15"/>
      <c r="W35" s="282"/>
    </row>
    <row r="36" spans="1:34" ht="45">
      <c r="A36" s="9" t="str">
        <f>'Síntese '!B45</f>
        <v>9. Percentual de cirurgias eletivas realizadas com TMAT (Tempo máximo aceitável para tratamento) expirado (↓) para o segundo ano</v>
      </c>
      <c r="B36" s="457" t="str">
        <f>'Síntese '!D45</f>
        <v>&lt; 10%</v>
      </c>
      <c r="C36" s="39"/>
      <c r="D36" s="39"/>
      <c r="E36" s="53"/>
      <c r="F36" s="14"/>
      <c r="G36" s="14"/>
      <c r="H36" s="23"/>
      <c r="I36" s="12"/>
      <c r="J36" s="12"/>
      <c r="K36" s="12"/>
      <c r="L36" s="301">
        <f>L37/L38</f>
        <v>4.7058823529411764E-2</v>
      </c>
      <c r="M36" s="301">
        <f t="shared" ref="M36:W36" si="10">M37/M38</f>
        <v>3.2010243277848911E-2</v>
      </c>
      <c r="N36" s="301">
        <f t="shared" si="10"/>
        <v>5.2564102564102565E-2</v>
      </c>
      <c r="O36" s="13" t="e">
        <f t="shared" si="10"/>
        <v>#VALUE!</v>
      </c>
      <c r="P36" s="13" t="e">
        <f t="shared" si="10"/>
        <v>#VALUE!</v>
      </c>
      <c r="Q36" s="13" t="e">
        <f t="shared" si="10"/>
        <v>#VALUE!</v>
      </c>
      <c r="R36" s="13" t="e">
        <f t="shared" si="10"/>
        <v>#VALUE!</v>
      </c>
      <c r="S36" s="13" t="e">
        <f t="shared" si="10"/>
        <v>#VALUE!</v>
      </c>
      <c r="T36" s="13" t="e">
        <f t="shared" si="10"/>
        <v>#VALUE!</v>
      </c>
      <c r="U36" s="13" t="e">
        <f t="shared" si="10"/>
        <v>#VALUE!</v>
      </c>
      <c r="V36" s="13" t="e">
        <f t="shared" si="10"/>
        <v>#VALUE!</v>
      </c>
      <c r="W36" s="280" t="e">
        <f t="shared" si="10"/>
        <v>#VALUE!</v>
      </c>
      <c r="Y36" s="47"/>
      <c r="Z36" s="26"/>
    </row>
    <row r="37" spans="1:34" ht="38.450000000000003" customHeight="1">
      <c r="A37" s="277" t="s">
        <v>173</v>
      </c>
      <c r="B37" s="458"/>
      <c r="C37" s="50"/>
      <c r="D37" s="56"/>
      <c r="E37" s="57"/>
      <c r="F37" s="14"/>
      <c r="G37" s="14"/>
      <c r="H37" s="14"/>
      <c r="I37" s="14"/>
      <c r="J37" s="14"/>
      <c r="K37" s="14"/>
      <c r="L37" s="298">
        <v>36</v>
      </c>
      <c r="M37" s="298">
        <v>25</v>
      </c>
      <c r="N37" s="298">
        <v>41</v>
      </c>
      <c r="O37" s="14" t="s">
        <v>218</v>
      </c>
      <c r="P37" s="14" t="s">
        <v>218</v>
      </c>
      <c r="Q37" s="14" t="s">
        <v>218</v>
      </c>
      <c r="R37" s="14" t="s">
        <v>218</v>
      </c>
      <c r="S37" s="14" t="s">
        <v>218</v>
      </c>
      <c r="T37" s="14" t="s">
        <v>218</v>
      </c>
      <c r="U37" s="14" t="s">
        <v>218</v>
      </c>
      <c r="V37" s="14" t="s">
        <v>218</v>
      </c>
      <c r="W37" s="281" t="s">
        <v>218</v>
      </c>
      <c r="Y37" s="47"/>
      <c r="Z37" s="26"/>
    </row>
    <row r="38" spans="1:34" ht="38.450000000000003" customHeight="1">
      <c r="A38" s="277" t="s">
        <v>174</v>
      </c>
      <c r="B38" s="459"/>
      <c r="C38" s="50"/>
      <c r="D38" s="56"/>
      <c r="E38" s="57"/>
      <c r="F38" s="14"/>
      <c r="G38" s="14"/>
      <c r="H38" s="14"/>
      <c r="I38" s="14"/>
      <c r="J38" s="14"/>
      <c r="K38" s="14"/>
      <c r="L38" s="298">
        <v>765</v>
      </c>
      <c r="M38" s="298">
        <v>781</v>
      </c>
      <c r="N38" s="298">
        <v>780</v>
      </c>
      <c r="O38" s="14" t="s">
        <v>218</v>
      </c>
      <c r="P38" s="14" t="s">
        <v>218</v>
      </c>
      <c r="Q38" s="14" t="s">
        <v>218</v>
      </c>
      <c r="R38" s="14" t="s">
        <v>218</v>
      </c>
      <c r="S38" s="14" t="s">
        <v>218</v>
      </c>
      <c r="T38" s="14" t="s">
        <v>218</v>
      </c>
      <c r="U38" s="14" t="s">
        <v>218</v>
      </c>
      <c r="V38" s="14" t="s">
        <v>218</v>
      </c>
      <c r="W38" s="281" t="s">
        <v>218</v>
      </c>
      <c r="Y38" s="49"/>
      <c r="Z38" s="49"/>
      <c r="AA38" s="41"/>
      <c r="AB38" s="41"/>
      <c r="AC38" s="42"/>
      <c r="AD38" s="31"/>
      <c r="AE38" s="32"/>
      <c r="AF38" s="32"/>
      <c r="AG38" s="32"/>
      <c r="AH38" s="26"/>
    </row>
    <row r="39" spans="1:34" ht="24" hidden="1" customHeight="1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304"/>
      <c r="N39" s="239"/>
      <c r="O39" s="15"/>
      <c r="P39" s="15"/>
      <c r="Q39" s="15"/>
      <c r="R39" s="15"/>
      <c r="S39" s="15"/>
      <c r="T39" s="15"/>
      <c r="U39" s="15"/>
      <c r="V39" s="15"/>
      <c r="W39" s="282"/>
    </row>
    <row r="40" spans="1:34" ht="38.450000000000003" customHeight="1">
      <c r="A40" s="103" t="str">
        <f>'Síntese '!B46</f>
        <v>10. Percentual de partos cesáreos</v>
      </c>
      <c r="B40" s="444" t="str">
        <f>'Síntese '!D46</f>
        <v>≤ 15%</v>
      </c>
      <c r="C40" s="39"/>
      <c r="D40" s="39"/>
      <c r="E40" s="40"/>
      <c r="F40" s="40"/>
      <c r="G40" s="23"/>
      <c r="H40" s="12"/>
      <c r="I40" s="12"/>
      <c r="J40" s="12"/>
      <c r="K40" s="12"/>
      <c r="L40" s="301">
        <f>L41/L42</f>
        <v>0.39166666666666666</v>
      </c>
      <c r="M40" s="301">
        <f t="shared" ref="M40:W40" si="11">M41/M42</f>
        <v>0.47368421052631576</v>
      </c>
      <c r="N40" s="301">
        <f t="shared" si="11"/>
        <v>0.41379310344827586</v>
      </c>
      <c r="O40" s="13" t="e">
        <f t="shared" si="11"/>
        <v>#DIV/0!</v>
      </c>
      <c r="P40" s="13" t="e">
        <f t="shared" si="11"/>
        <v>#DIV/0!</v>
      </c>
      <c r="Q40" s="13" t="e">
        <f t="shared" si="11"/>
        <v>#DIV/0!</v>
      </c>
      <c r="R40" s="13" t="e">
        <f t="shared" si="11"/>
        <v>#DIV/0!</v>
      </c>
      <c r="S40" s="13" t="e">
        <f t="shared" si="11"/>
        <v>#DIV/0!</v>
      </c>
      <c r="T40" s="13" t="e">
        <f t="shared" si="11"/>
        <v>#DIV/0!</v>
      </c>
      <c r="U40" s="13" t="e">
        <f t="shared" si="11"/>
        <v>#DIV/0!</v>
      </c>
      <c r="V40" s="13" t="e">
        <f t="shared" si="11"/>
        <v>#DIV/0!</v>
      </c>
      <c r="W40" s="280" t="e">
        <f t="shared" si="11"/>
        <v>#DIV/0!</v>
      </c>
      <c r="Y40" s="47"/>
      <c r="Z40" s="49"/>
      <c r="AA40" s="44"/>
      <c r="AB40" s="44"/>
      <c r="AC40" s="45"/>
      <c r="AD40" s="25"/>
    </row>
    <row r="41" spans="1:34" ht="38.450000000000003" customHeight="1">
      <c r="A41" s="278" t="s">
        <v>181</v>
      </c>
      <c r="B41" s="445"/>
      <c r="C41" s="39"/>
      <c r="D41" s="39"/>
      <c r="E41" s="40"/>
      <c r="F41" s="40"/>
      <c r="G41" s="23"/>
      <c r="H41" s="12"/>
      <c r="I41" s="12"/>
      <c r="J41" s="12"/>
      <c r="K41" s="12"/>
      <c r="L41" s="316">
        <v>47</v>
      </c>
      <c r="M41" s="316">
        <v>54</v>
      </c>
      <c r="N41" s="316">
        <v>48</v>
      </c>
      <c r="O41" s="16"/>
      <c r="P41" s="16"/>
      <c r="Q41" s="16"/>
      <c r="R41" s="16"/>
      <c r="S41" s="16"/>
      <c r="T41" s="16"/>
      <c r="U41" s="16"/>
      <c r="V41" s="16"/>
      <c r="W41" s="286"/>
      <c r="Y41" s="47"/>
      <c r="Z41" s="49"/>
      <c r="AA41" s="44"/>
      <c r="AB41" s="44"/>
      <c r="AC41" s="45"/>
      <c r="AD41" s="25"/>
    </row>
    <row r="42" spans="1:34" ht="38.450000000000003" customHeight="1">
      <c r="A42" s="278" t="s">
        <v>182</v>
      </c>
      <c r="B42" s="446"/>
      <c r="C42" s="39"/>
      <c r="D42" s="39"/>
      <c r="E42" s="40"/>
      <c r="F42" s="40"/>
      <c r="G42" s="23"/>
      <c r="H42" s="12"/>
      <c r="I42" s="12"/>
      <c r="J42" s="12"/>
      <c r="K42" s="12"/>
      <c r="L42" s="316">
        <v>120</v>
      </c>
      <c r="M42" s="316">
        <v>114</v>
      </c>
      <c r="N42" s="316">
        <v>116</v>
      </c>
      <c r="O42" s="16"/>
      <c r="P42" s="16"/>
      <c r="Q42" s="16"/>
      <c r="R42" s="16"/>
      <c r="S42" s="16"/>
      <c r="T42" s="16"/>
      <c r="U42" s="16"/>
      <c r="V42" s="16"/>
      <c r="W42" s="286"/>
      <c r="Y42" s="47"/>
      <c r="Z42" s="49"/>
      <c r="AA42" s="44"/>
      <c r="AB42" s="44"/>
      <c r="AC42" s="45"/>
      <c r="AD42" s="25"/>
    </row>
    <row r="43" spans="1:34" ht="24" hidden="1" customHeight="1">
      <c r="A43" s="237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312"/>
      <c r="M43" s="312"/>
      <c r="N43" s="435"/>
      <c r="O43" s="15"/>
      <c r="P43" s="15"/>
      <c r="Q43" s="15"/>
      <c r="R43" s="15"/>
      <c r="S43" s="15"/>
      <c r="T43" s="15"/>
      <c r="U43" s="15"/>
      <c r="V43" s="15"/>
      <c r="W43" s="282"/>
    </row>
    <row r="44" spans="1:34" ht="38.450000000000003" customHeight="1">
      <c r="A44" s="9" t="str">
        <f>'Síntese '!B47</f>
        <v>11. Taxa de aplicação da escala de Robson nas parturientes submetidas á cesária</v>
      </c>
      <c r="B44" s="444">
        <f>'Síntese '!D47</f>
        <v>1</v>
      </c>
      <c r="C44" s="39"/>
      <c r="D44" s="39"/>
      <c r="E44" s="40"/>
      <c r="F44" s="23"/>
      <c r="G44" s="23"/>
      <c r="H44" s="12"/>
      <c r="I44" s="12"/>
      <c r="J44" s="12"/>
      <c r="K44" s="12"/>
      <c r="L44" s="301">
        <f>L45/L46</f>
        <v>1</v>
      </c>
      <c r="M44" s="301">
        <f t="shared" ref="M44:W44" si="12">M45/M46</f>
        <v>1</v>
      </c>
      <c r="N44" s="301">
        <f t="shared" si="12"/>
        <v>1</v>
      </c>
      <c r="O44" s="13" t="e">
        <f t="shared" si="12"/>
        <v>#DIV/0!</v>
      </c>
      <c r="P44" s="13" t="e">
        <f t="shared" si="12"/>
        <v>#DIV/0!</v>
      </c>
      <c r="Q44" s="13" t="e">
        <f t="shared" si="12"/>
        <v>#DIV/0!</v>
      </c>
      <c r="R44" s="13" t="e">
        <f t="shared" si="12"/>
        <v>#DIV/0!</v>
      </c>
      <c r="S44" s="13" t="e">
        <f t="shared" si="12"/>
        <v>#DIV/0!</v>
      </c>
      <c r="T44" s="13" t="e">
        <f t="shared" si="12"/>
        <v>#DIV/0!</v>
      </c>
      <c r="U44" s="13" t="e">
        <f t="shared" si="12"/>
        <v>#DIV/0!</v>
      </c>
      <c r="V44" s="13" t="e">
        <f t="shared" si="12"/>
        <v>#DIV/0!</v>
      </c>
      <c r="W44" s="280" t="e">
        <f t="shared" si="12"/>
        <v>#DIV/0!</v>
      </c>
      <c r="Y44" s="47"/>
      <c r="Z44" s="49"/>
    </row>
    <row r="45" spans="1:34" ht="38.450000000000003" customHeight="1">
      <c r="A45" s="276" t="s">
        <v>183</v>
      </c>
      <c r="B45" s="445"/>
      <c r="C45" s="39"/>
      <c r="D45" s="39"/>
      <c r="E45" s="39"/>
      <c r="F45" s="23"/>
      <c r="G45" s="23"/>
      <c r="H45" s="12"/>
      <c r="I45" s="12"/>
      <c r="J45" s="12"/>
      <c r="K45" s="12"/>
      <c r="L45" s="316">
        <v>47</v>
      </c>
      <c r="M45" s="316">
        <v>54</v>
      </c>
      <c r="N45" s="316">
        <v>48</v>
      </c>
      <c r="O45" s="16"/>
      <c r="P45" s="16"/>
      <c r="Q45" s="16"/>
      <c r="R45" s="16"/>
      <c r="S45" s="16"/>
      <c r="T45" s="16"/>
      <c r="U45" s="16"/>
      <c r="V45" s="16"/>
      <c r="W45" s="286"/>
      <c r="Y45" s="47"/>
      <c r="Z45" s="49"/>
    </row>
    <row r="46" spans="1:34" ht="38.450000000000003" customHeight="1">
      <c r="A46" s="276" t="s">
        <v>184</v>
      </c>
      <c r="B46" s="446"/>
      <c r="C46" s="39"/>
      <c r="D46" s="39"/>
      <c r="E46" s="39"/>
      <c r="F46" s="23"/>
      <c r="G46" s="23"/>
      <c r="H46" s="12"/>
      <c r="I46" s="12"/>
      <c r="J46" s="12"/>
      <c r="K46" s="12"/>
      <c r="L46" s="316">
        <v>47</v>
      </c>
      <c r="M46" s="316">
        <v>54</v>
      </c>
      <c r="N46" s="316">
        <v>48</v>
      </c>
      <c r="O46" s="16"/>
      <c r="P46" s="16"/>
      <c r="Q46" s="16"/>
      <c r="R46" s="16"/>
      <c r="S46" s="16"/>
      <c r="T46" s="16"/>
      <c r="U46" s="16"/>
      <c r="V46" s="16"/>
      <c r="W46" s="286"/>
      <c r="Y46" s="47"/>
      <c r="Z46" s="49"/>
    </row>
    <row r="47" spans="1:34" ht="24" hidden="1" customHeight="1">
      <c r="A47" s="237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304"/>
      <c r="N47" s="429"/>
      <c r="O47" s="15"/>
      <c r="P47" s="15"/>
      <c r="Q47" s="15"/>
      <c r="R47" s="15"/>
      <c r="S47" s="15"/>
      <c r="T47" s="15"/>
      <c r="U47" s="15"/>
      <c r="V47" s="15"/>
      <c r="W47" s="282"/>
    </row>
    <row r="48" spans="1:34" ht="38.450000000000003" customHeight="1">
      <c r="A48" s="103" t="str">
        <f>'Síntese '!B48</f>
        <v>12. Percentual de Exames de imagem com resultado liberado em até 72 horas</v>
      </c>
      <c r="B48" s="453" t="str">
        <f>'Síntese '!D48</f>
        <v>≥ 70%</v>
      </c>
      <c r="C48" s="16"/>
      <c r="D48" s="16"/>
      <c r="E48" s="59"/>
      <c r="F48" s="14"/>
      <c r="G48" s="14"/>
      <c r="H48" s="14"/>
      <c r="I48" s="14"/>
      <c r="J48" s="14"/>
      <c r="K48" s="14"/>
      <c r="L48" s="302">
        <f>L49/L50</f>
        <v>1</v>
      </c>
      <c r="M48" s="302">
        <f t="shared" ref="M48:W48" si="13">M49/M50</f>
        <v>1</v>
      </c>
      <c r="N48" s="302">
        <f t="shared" si="13"/>
        <v>1</v>
      </c>
      <c r="O48" s="154" t="e">
        <f t="shared" si="13"/>
        <v>#DIV/0!</v>
      </c>
      <c r="P48" s="154" t="e">
        <f t="shared" si="13"/>
        <v>#DIV/0!</v>
      </c>
      <c r="Q48" s="154" t="e">
        <f t="shared" si="13"/>
        <v>#DIV/0!</v>
      </c>
      <c r="R48" s="154" t="e">
        <f t="shared" si="13"/>
        <v>#DIV/0!</v>
      </c>
      <c r="S48" s="154" t="e">
        <f t="shared" si="13"/>
        <v>#DIV/0!</v>
      </c>
      <c r="T48" s="154" t="e">
        <f t="shared" si="13"/>
        <v>#DIV/0!</v>
      </c>
      <c r="U48" s="154" t="e">
        <f t="shared" si="13"/>
        <v>#DIV/0!</v>
      </c>
      <c r="V48" s="154" t="e">
        <f t="shared" si="13"/>
        <v>#DIV/0!</v>
      </c>
      <c r="W48" s="287" t="e">
        <f t="shared" si="13"/>
        <v>#DIV/0!</v>
      </c>
      <c r="Y48" s="60"/>
      <c r="Z48" s="26"/>
    </row>
    <row r="49" spans="1:23" ht="38.450000000000003" customHeight="1">
      <c r="A49" s="276" t="s">
        <v>236</v>
      </c>
      <c r="B49" s="454"/>
      <c r="C49" s="157"/>
      <c r="D49" s="157"/>
      <c r="E49" s="158"/>
      <c r="F49" s="155"/>
      <c r="G49" s="155"/>
      <c r="H49" s="155"/>
      <c r="I49" s="159"/>
      <c r="J49" s="159"/>
      <c r="K49" s="160"/>
      <c r="L49" s="303">
        <v>3308</v>
      </c>
      <c r="M49" s="303">
        <v>3352</v>
      </c>
      <c r="N49" s="303">
        <v>3710</v>
      </c>
      <c r="O49" s="161"/>
      <c r="P49" s="161"/>
      <c r="Q49" s="161"/>
      <c r="R49" s="161"/>
      <c r="S49" s="161"/>
      <c r="T49" s="161"/>
      <c r="U49" s="161"/>
      <c r="V49" s="161"/>
      <c r="W49" s="288"/>
    </row>
    <row r="50" spans="1:23" ht="38.450000000000003" customHeight="1">
      <c r="A50" s="276" t="s">
        <v>237</v>
      </c>
      <c r="B50" s="455"/>
      <c r="C50" s="157"/>
      <c r="D50" s="157"/>
      <c r="E50" s="158"/>
      <c r="F50" s="155"/>
      <c r="G50" s="155"/>
      <c r="H50" s="155"/>
      <c r="I50" s="159"/>
      <c r="J50" s="159"/>
      <c r="K50" s="160"/>
      <c r="L50" s="303">
        <v>3308</v>
      </c>
      <c r="M50" s="303">
        <v>3352</v>
      </c>
      <c r="N50" s="303">
        <v>3710</v>
      </c>
      <c r="O50" s="161"/>
      <c r="P50" s="161"/>
      <c r="Q50" s="161"/>
      <c r="R50" s="161"/>
      <c r="S50" s="161"/>
      <c r="T50" s="161"/>
      <c r="U50" s="161"/>
      <c r="V50" s="161"/>
      <c r="W50" s="288"/>
    </row>
    <row r="51" spans="1:23" ht="24" hidden="1" customHeight="1">
      <c r="A51" s="237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304"/>
      <c r="N51" s="429"/>
      <c r="O51" s="15"/>
      <c r="P51" s="15"/>
      <c r="Q51" s="15"/>
      <c r="R51" s="15"/>
      <c r="S51" s="15"/>
      <c r="T51" s="15"/>
      <c r="U51" s="15"/>
      <c r="V51" s="15"/>
      <c r="W51" s="282"/>
    </row>
    <row r="52" spans="1:23" ht="63" customHeight="1">
      <c r="A52" s="9" t="s">
        <v>291</v>
      </c>
      <c r="B52" s="456" t="str">
        <f>'Síntese '!D49</f>
        <v>≥ 80%</v>
      </c>
      <c r="C52" s="166"/>
      <c r="D52" s="12"/>
      <c r="E52" s="28"/>
      <c r="F52" s="23"/>
      <c r="G52" s="23"/>
      <c r="H52" s="12"/>
      <c r="I52" s="12"/>
      <c r="J52" s="12"/>
      <c r="K52" s="12"/>
      <c r="L52" s="301">
        <f>L53/L54</f>
        <v>1</v>
      </c>
      <c r="M52" s="301">
        <f t="shared" ref="M52:W52" si="14">M53/M54</f>
        <v>1</v>
      </c>
      <c r="N52" s="301">
        <f t="shared" si="14"/>
        <v>1</v>
      </c>
      <c r="O52" s="13" t="e">
        <f t="shared" si="14"/>
        <v>#DIV/0!</v>
      </c>
      <c r="P52" s="13" t="e">
        <f t="shared" si="14"/>
        <v>#DIV/0!</v>
      </c>
      <c r="Q52" s="13" t="e">
        <f t="shared" si="14"/>
        <v>#DIV/0!</v>
      </c>
      <c r="R52" s="13" t="e">
        <f t="shared" si="14"/>
        <v>#DIV/0!</v>
      </c>
      <c r="S52" s="13" t="e">
        <f t="shared" si="14"/>
        <v>#DIV/0!</v>
      </c>
      <c r="T52" s="13" t="e">
        <f t="shared" si="14"/>
        <v>#DIV/0!</v>
      </c>
      <c r="U52" s="13" t="e">
        <f t="shared" si="14"/>
        <v>#DIV/0!</v>
      </c>
      <c r="V52" s="13" t="e">
        <f t="shared" si="14"/>
        <v>#DIV/0!</v>
      </c>
      <c r="W52" s="280" t="e">
        <f t="shared" si="14"/>
        <v>#DIV/0!</v>
      </c>
    </row>
    <row r="53" spans="1:23" ht="38.450000000000003" customHeight="1">
      <c r="A53" s="276" t="s">
        <v>175</v>
      </c>
      <c r="B53" s="451"/>
      <c r="C53" s="167"/>
      <c r="D53" s="58"/>
      <c r="E53" s="29"/>
      <c r="F53" s="14"/>
      <c r="G53" s="14"/>
      <c r="H53" s="16"/>
      <c r="I53" s="16"/>
      <c r="J53" s="16"/>
      <c r="K53" s="15"/>
      <c r="L53" s="303">
        <v>156</v>
      </c>
      <c r="M53" s="303">
        <v>143</v>
      </c>
      <c r="N53" s="303">
        <v>211</v>
      </c>
      <c r="O53" s="161"/>
      <c r="P53" s="161"/>
      <c r="Q53" s="161"/>
      <c r="R53" s="161"/>
      <c r="S53" s="161"/>
      <c r="T53" s="161"/>
      <c r="U53" s="161"/>
      <c r="V53" s="161"/>
      <c r="W53" s="288"/>
    </row>
    <row r="54" spans="1:23" ht="38.450000000000003" customHeight="1">
      <c r="A54" s="276" t="s">
        <v>176</v>
      </c>
      <c r="B54" s="451"/>
      <c r="C54" s="167"/>
      <c r="D54" s="58"/>
      <c r="E54" s="29"/>
      <c r="F54" s="14"/>
      <c r="G54" s="14"/>
      <c r="H54" s="16"/>
      <c r="I54" s="16"/>
      <c r="J54" s="16"/>
      <c r="K54" s="15"/>
      <c r="L54" s="303">
        <v>156</v>
      </c>
      <c r="M54" s="303">
        <v>143</v>
      </c>
      <c r="N54" s="303">
        <v>211</v>
      </c>
      <c r="O54" s="161"/>
      <c r="P54" s="161"/>
      <c r="Q54" s="161"/>
      <c r="R54" s="161"/>
      <c r="S54" s="161"/>
      <c r="T54" s="161"/>
      <c r="U54" s="161"/>
      <c r="V54" s="161"/>
      <c r="W54" s="288"/>
    </row>
    <row r="55" spans="1:23" ht="24" hidden="1" customHeight="1">
      <c r="A55" s="237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312"/>
      <c r="M55" s="304"/>
      <c r="N55" s="435"/>
      <c r="O55" s="15"/>
      <c r="P55" s="15"/>
      <c r="Q55" s="15"/>
      <c r="R55" s="15"/>
      <c r="S55" s="15"/>
      <c r="T55" s="15"/>
      <c r="U55" s="15"/>
      <c r="V55" s="15"/>
      <c r="W55" s="282"/>
    </row>
    <row r="56" spans="1:23" ht="69.599999999999994" customHeight="1">
      <c r="A56" s="9" t="s">
        <v>148</v>
      </c>
      <c r="B56" s="456" t="str">
        <f>'Síntese '!D50</f>
        <v>≥ 80%</v>
      </c>
      <c r="C56" s="110"/>
      <c r="D56" s="39"/>
      <c r="E56" s="40"/>
      <c r="F56" s="12"/>
      <c r="G56" s="12"/>
      <c r="H56" s="12"/>
      <c r="I56" s="12"/>
      <c r="J56" s="12"/>
      <c r="K56" s="12"/>
      <c r="L56" s="301">
        <f>L57/L58</f>
        <v>1</v>
      </c>
      <c r="M56" s="301">
        <f t="shared" ref="M56:W56" si="15">M57/M58</f>
        <v>1</v>
      </c>
      <c r="N56" s="301">
        <f t="shared" si="15"/>
        <v>1</v>
      </c>
      <c r="O56" s="13" t="e">
        <f t="shared" si="15"/>
        <v>#DIV/0!</v>
      </c>
      <c r="P56" s="13" t="e">
        <f t="shared" si="15"/>
        <v>#DIV/0!</v>
      </c>
      <c r="Q56" s="13" t="e">
        <f t="shared" si="15"/>
        <v>#DIV/0!</v>
      </c>
      <c r="R56" s="13" t="e">
        <f t="shared" si="15"/>
        <v>#DIV/0!</v>
      </c>
      <c r="S56" s="13" t="e">
        <f t="shared" si="15"/>
        <v>#DIV/0!</v>
      </c>
      <c r="T56" s="13" t="e">
        <f t="shared" si="15"/>
        <v>#DIV/0!</v>
      </c>
      <c r="U56" s="13" t="e">
        <f t="shared" si="15"/>
        <v>#DIV/0!</v>
      </c>
      <c r="V56" s="13" t="e">
        <f t="shared" si="15"/>
        <v>#DIV/0!</v>
      </c>
      <c r="W56" s="280" t="e">
        <f t="shared" si="15"/>
        <v>#DIV/0!</v>
      </c>
    </row>
    <row r="57" spans="1:23" ht="38.450000000000003" customHeight="1">
      <c r="A57" s="276" t="s">
        <v>177</v>
      </c>
      <c r="B57" s="456"/>
      <c r="C57" s="110"/>
      <c r="D57" s="39"/>
      <c r="E57" s="40"/>
      <c r="F57" s="12"/>
      <c r="G57" s="12"/>
      <c r="H57" s="12"/>
      <c r="I57" s="12"/>
      <c r="J57" s="12"/>
      <c r="K57" s="12"/>
      <c r="L57" s="303">
        <v>14</v>
      </c>
      <c r="M57" s="303">
        <v>18</v>
      </c>
      <c r="N57" s="303">
        <v>21</v>
      </c>
      <c r="O57" s="161"/>
      <c r="P57" s="161"/>
      <c r="Q57" s="161"/>
      <c r="R57" s="161"/>
      <c r="S57" s="161"/>
      <c r="T57" s="161"/>
      <c r="U57" s="161"/>
      <c r="V57" s="161"/>
      <c r="W57" s="288"/>
    </row>
    <row r="58" spans="1:23" ht="38.450000000000003" customHeight="1">
      <c r="A58" s="276" t="s">
        <v>178</v>
      </c>
      <c r="B58" s="456"/>
      <c r="C58" s="110"/>
      <c r="D58" s="39"/>
      <c r="E58" s="40"/>
      <c r="F58" s="12"/>
      <c r="G58" s="12"/>
      <c r="H58" s="12"/>
      <c r="I58" s="12"/>
      <c r="J58" s="12"/>
      <c r="K58" s="12"/>
      <c r="L58" s="303">
        <v>14</v>
      </c>
      <c r="M58" s="303">
        <v>18</v>
      </c>
      <c r="N58" s="303">
        <v>21</v>
      </c>
      <c r="O58" s="161"/>
      <c r="P58" s="161"/>
      <c r="Q58" s="161"/>
      <c r="R58" s="161"/>
      <c r="S58" s="161"/>
      <c r="T58" s="161"/>
      <c r="U58" s="161"/>
      <c r="V58" s="161"/>
      <c r="W58" s="288"/>
    </row>
    <row r="59" spans="1:23" ht="24" hidden="1" customHeight="1">
      <c r="A59" s="237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304"/>
      <c r="N59" s="429"/>
      <c r="O59" s="15"/>
      <c r="P59" s="15"/>
      <c r="Q59" s="15"/>
      <c r="R59" s="15"/>
      <c r="S59" s="15"/>
      <c r="T59" s="15"/>
      <c r="U59" s="15"/>
      <c r="V59" s="15"/>
      <c r="W59" s="282"/>
    </row>
    <row r="60" spans="1:23" ht="38.450000000000003" customHeight="1">
      <c r="A60" s="9" t="str">
        <f>'Síntese '!B51</f>
        <v>15. Taxa de acurácia do estoque</v>
      </c>
      <c r="B60" s="456" t="s">
        <v>264</v>
      </c>
      <c r="C60" s="156"/>
      <c r="D60" s="14"/>
      <c r="E60" s="14"/>
      <c r="F60" s="14"/>
      <c r="G60" s="14"/>
      <c r="H60" s="14"/>
      <c r="I60" s="14"/>
      <c r="J60" s="14"/>
      <c r="K60" s="14"/>
      <c r="L60" s="313">
        <f>L61/L62</f>
        <v>0.96805883013360283</v>
      </c>
      <c r="M60" s="313">
        <f t="shared" ref="M60:W60" si="16">M61/M62</f>
        <v>0.96805883013360283</v>
      </c>
      <c r="N60" s="313">
        <f t="shared" si="16"/>
        <v>0.95134997452878245</v>
      </c>
      <c r="O60" s="163" t="e">
        <f t="shared" si="16"/>
        <v>#DIV/0!</v>
      </c>
      <c r="P60" s="163" t="e">
        <f t="shared" si="16"/>
        <v>#DIV/0!</v>
      </c>
      <c r="Q60" s="163" t="e">
        <f t="shared" si="16"/>
        <v>#DIV/0!</v>
      </c>
      <c r="R60" s="163" t="e">
        <f t="shared" si="16"/>
        <v>#DIV/0!</v>
      </c>
      <c r="S60" s="163" t="e">
        <f t="shared" si="16"/>
        <v>#DIV/0!</v>
      </c>
      <c r="T60" s="163" t="e">
        <f t="shared" si="16"/>
        <v>#DIV/0!</v>
      </c>
      <c r="U60" s="163" t="e">
        <f t="shared" si="16"/>
        <v>#DIV/0!</v>
      </c>
      <c r="V60" s="163" t="e">
        <f t="shared" si="16"/>
        <v>#DIV/0!</v>
      </c>
      <c r="W60" s="289" t="e">
        <f t="shared" si="16"/>
        <v>#DIV/0!</v>
      </c>
    </row>
    <row r="61" spans="1:23" ht="38.450000000000003" customHeight="1">
      <c r="A61" s="276" t="s">
        <v>238</v>
      </c>
      <c r="B61" s="456"/>
      <c r="L61" s="314">
        <v>34490</v>
      </c>
      <c r="M61" s="314">
        <v>34490</v>
      </c>
      <c r="N61" s="314">
        <v>7470</v>
      </c>
      <c r="O61" s="162"/>
      <c r="P61" s="162"/>
      <c r="Q61" s="162"/>
      <c r="R61" s="162"/>
      <c r="S61" s="162"/>
      <c r="T61" s="162"/>
      <c r="U61" s="162"/>
      <c r="V61" s="162"/>
      <c r="W61" s="290"/>
    </row>
    <row r="62" spans="1:23" ht="38.450000000000003" customHeight="1">
      <c r="A62" s="276" t="s">
        <v>239</v>
      </c>
      <c r="B62" s="456"/>
      <c r="L62" s="314">
        <v>35628</v>
      </c>
      <c r="M62" s="314">
        <v>35628</v>
      </c>
      <c r="N62" s="314">
        <v>7852</v>
      </c>
      <c r="O62" s="162"/>
      <c r="P62" s="162"/>
      <c r="Q62" s="162"/>
      <c r="R62" s="162"/>
      <c r="S62" s="162"/>
      <c r="T62" s="162"/>
      <c r="U62" s="162"/>
      <c r="V62" s="162"/>
      <c r="W62" s="290"/>
    </row>
    <row r="63" spans="1:23" ht="24" hidden="1" customHeight="1">
      <c r="A63" s="237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304"/>
      <c r="M63" s="304"/>
      <c r="N63" s="429"/>
      <c r="O63" s="15"/>
      <c r="P63" s="15"/>
      <c r="Q63" s="15"/>
      <c r="R63" s="15"/>
      <c r="S63" s="15"/>
      <c r="T63" s="15"/>
      <c r="U63" s="15"/>
      <c r="V63" s="15"/>
      <c r="W63" s="282"/>
    </row>
    <row r="64" spans="1:23" ht="38.450000000000003" customHeight="1">
      <c r="A64" s="9" t="str">
        <f>'Síntese '!B52</f>
        <v>16. Taxa de perda financeira por vencimento de medicamentos</v>
      </c>
      <c r="B64" s="449" t="str">
        <f>'Síntese '!D52</f>
        <v>≤ 2%</v>
      </c>
      <c r="C64" s="156"/>
      <c r="D64" s="14"/>
      <c r="E64" s="14"/>
      <c r="F64" s="14"/>
      <c r="G64" s="14"/>
      <c r="H64" s="14"/>
      <c r="I64" s="14"/>
      <c r="J64" s="14"/>
      <c r="K64" s="14"/>
      <c r="L64" s="313">
        <f>L65/L66</f>
        <v>2.9382885334975498E-3</v>
      </c>
      <c r="M64" s="313">
        <f t="shared" ref="M64:W64" si="17">M65/M66</f>
        <v>3.8623438967084651E-3</v>
      </c>
      <c r="N64" s="313">
        <f t="shared" si="17"/>
        <v>9.3725179775546244E-3</v>
      </c>
      <c r="O64" s="163" t="e">
        <f t="shared" si="17"/>
        <v>#DIV/0!</v>
      </c>
      <c r="P64" s="163" t="e">
        <f t="shared" si="17"/>
        <v>#DIV/0!</v>
      </c>
      <c r="Q64" s="163" t="e">
        <f t="shared" si="17"/>
        <v>#DIV/0!</v>
      </c>
      <c r="R64" s="163" t="e">
        <f t="shared" si="17"/>
        <v>#DIV/0!</v>
      </c>
      <c r="S64" s="163" t="e">
        <f t="shared" si="17"/>
        <v>#DIV/0!</v>
      </c>
      <c r="T64" s="163" t="e">
        <f t="shared" si="17"/>
        <v>#DIV/0!</v>
      </c>
      <c r="U64" s="163" t="e">
        <f t="shared" si="17"/>
        <v>#DIV/0!</v>
      </c>
      <c r="V64" s="163" t="e">
        <f t="shared" si="17"/>
        <v>#DIV/0!</v>
      </c>
      <c r="W64" s="289" t="e">
        <f t="shared" si="17"/>
        <v>#DIV/0!</v>
      </c>
    </row>
    <row r="65" spans="1:23" ht="38.450000000000003" customHeight="1">
      <c r="A65" s="276" t="s">
        <v>240</v>
      </c>
      <c r="B65" s="449"/>
      <c r="L65" s="318">
        <v>817.15</v>
      </c>
      <c r="M65" s="318">
        <v>1426</v>
      </c>
      <c r="N65" s="318">
        <v>2663.02</v>
      </c>
      <c r="O65" s="164"/>
      <c r="P65" s="164"/>
      <c r="Q65" s="164"/>
      <c r="R65" s="164"/>
      <c r="S65" s="164"/>
      <c r="T65" s="164"/>
      <c r="U65" s="164"/>
      <c r="V65" s="164"/>
      <c r="W65" s="291"/>
    </row>
    <row r="66" spans="1:23" ht="38.450000000000003" customHeight="1">
      <c r="A66" s="276" t="s">
        <v>239</v>
      </c>
      <c r="B66" s="449"/>
      <c r="L66" s="318">
        <v>278104.07</v>
      </c>
      <c r="M66" s="318">
        <v>369205.86</v>
      </c>
      <c r="N66" s="318">
        <v>284130.69</v>
      </c>
      <c r="O66" s="164"/>
      <c r="P66" s="164"/>
      <c r="Q66" s="164"/>
      <c r="R66" s="164"/>
      <c r="S66" s="164"/>
      <c r="T66" s="164"/>
      <c r="U66" s="164"/>
      <c r="V66" s="164"/>
      <c r="W66" s="291"/>
    </row>
    <row r="67" spans="1:23" ht="24" hidden="1" customHeight="1">
      <c r="A67" s="237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304"/>
      <c r="M67" s="304"/>
      <c r="N67" s="429"/>
      <c r="O67" s="15"/>
      <c r="P67" s="15"/>
      <c r="Q67" s="15"/>
      <c r="R67" s="15"/>
      <c r="S67" s="15"/>
      <c r="T67" s="15"/>
      <c r="U67" s="15"/>
      <c r="V67" s="15"/>
      <c r="W67" s="282"/>
    </row>
    <row r="68" spans="1:23" ht="38.450000000000003" customHeight="1">
      <c r="A68" s="9" t="str">
        <f>'Síntese '!B53</f>
        <v>17. Taxa de aceitabilidade das intervenções farmacêuticas</v>
      </c>
      <c r="B68" s="449" t="str">
        <f>'Síntese '!D53</f>
        <v>≥ 90%</v>
      </c>
      <c r="C68" s="156"/>
      <c r="D68" s="14"/>
      <c r="E68" s="14"/>
      <c r="F68" s="14"/>
      <c r="G68" s="14"/>
      <c r="H68" s="14"/>
      <c r="I68" s="14"/>
      <c r="J68" s="14"/>
      <c r="K68" s="14"/>
      <c r="L68" s="313">
        <f>L69/L70</f>
        <v>0.95081967213114749</v>
      </c>
      <c r="M68" s="313">
        <f t="shared" ref="M68:W68" si="18">M69/M70</f>
        <v>0.9831460674157303</v>
      </c>
      <c r="N68" s="313">
        <f t="shared" si="18"/>
        <v>0.98684210526315785</v>
      </c>
      <c r="O68" s="163" t="e">
        <f t="shared" si="18"/>
        <v>#DIV/0!</v>
      </c>
      <c r="P68" s="163" t="e">
        <f t="shared" si="18"/>
        <v>#DIV/0!</v>
      </c>
      <c r="Q68" s="163" t="e">
        <f t="shared" si="18"/>
        <v>#DIV/0!</v>
      </c>
      <c r="R68" s="163" t="e">
        <f t="shared" si="18"/>
        <v>#DIV/0!</v>
      </c>
      <c r="S68" s="163" t="e">
        <f t="shared" si="18"/>
        <v>#DIV/0!</v>
      </c>
      <c r="T68" s="163" t="e">
        <f t="shared" si="18"/>
        <v>#DIV/0!</v>
      </c>
      <c r="U68" s="163" t="e">
        <f t="shared" si="18"/>
        <v>#DIV/0!</v>
      </c>
      <c r="V68" s="163" t="e">
        <f t="shared" si="18"/>
        <v>#DIV/0!</v>
      </c>
      <c r="W68" s="289" t="e">
        <f t="shared" si="18"/>
        <v>#DIV/0!</v>
      </c>
    </row>
    <row r="69" spans="1:23" ht="38.450000000000003" customHeight="1">
      <c r="A69" s="276" t="s">
        <v>241</v>
      </c>
      <c r="B69" s="449"/>
      <c r="L69" s="315">
        <v>116</v>
      </c>
      <c r="M69" s="315">
        <v>175</v>
      </c>
      <c r="N69" s="315">
        <v>150</v>
      </c>
      <c r="O69" s="165"/>
      <c r="P69" s="165"/>
      <c r="Q69" s="165"/>
      <c r="R69" s="165"/>
      <c r="S69" s="165"/>
      <c r="T69" s="165"/>
      <c r="U69" s="165"/>
      <c r="V69" s="165"/>
      <c r="W69" s="292"/>
    </row>
    <row r="70" spans="1:23" ht="38.450000000000003" customHeight="1">
      <c r="A70" s="276" t="s">
        <v>242</v>
      </c>
      <c r="B70" s="449"/>
      <c r="L70" s="315">
        <v>122</v>
      </c>
      <c r="M70" s="315">
        <v>178</v>
      </c>
      <c r="N70" s="315">
        <v>152</v>
      </c>
      <c r="O70" s="165"/>
      <c r="P70" s="165"/>
      <c r="Q70" s="165"/>
      <c r="R70" s="165"/>
      <c r="S70" s="165"/>
      <c r="T70" s="165"/>
      <c r="U70" s="165"/>
      <c r="V70" s="165"/>
      <c r="W70" s="292"/>
    </row>
    <row r="175" spans="6:6">
      <c r="F175" s="8">
        <v>35</v>
      </c>
    </row>
  </sheetData>
  <mergeCells count="19">
    <mergeCell ref="B32:B34"/>
    <mergeCell ref="B36:B38"/>
    <mergeCell ref="B56:B58"/>
    <mergeCell ref="B44:B46"/>
    <mergeCell ref="A2:W2"/>
    <mergeCell ref="A1:W1"/>
    <mergeCell ref="B68:B70"/>
    <mergeCell ref="B40:B42"/>
    <mergeCell ref="B4:B6"/>
    <mergeCell ref="B8:B10"/>
    <mergeCell ref="B12:B14"/>
    <mergeCell ref="B16:B18"/>
    <mergeCell ref="B20:B22"/>
    <mergeCell ref="B24:B26"/>
    <mergeCell ref="B48:B50"/>
    <mergeCell ref="B60:B62"/>
    <mergeCell ref="B64:B66"/>
    <mergeCell ref="B28:B30"/>
    <mergeCell ref="B52:B54"/>
  </mergeCells>
  <phoneticPr fontId="39" type="noConversion"/>
  <pageMargins left="0.78749999999999998" right="0.78749999999999998" top="0.78749999999999998" bottom="0.78749999999999998" header="0.78749999999999998" footer="0.78749999999999998"/>
  <pageSetup paperSize="9" scale="70" fitToHeight="0" orientation="portrait" horizontalDpi="300" verticalDpi="300" r:id="rId1"/>
  <headerFooter differentFirst="1">
    <oddHeader>&amp;C&amp;12&amp;A</oddHeader>
    <oddFooter>&amp;C&amp;12Página &amp;P</oddFooter>
  </headerFooter>
  <rowBreaks count="2" manualBreakCount="2">
    <brk id="26" max="21" man="1"/>
    <brk id="55" max="21" man="1"/>
  </rowBreaks>
  <colBreaks count="1" manualBreakCount="1">
    <brk id="23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078B-C968-4D44-99DE-12AFBE1DFCFF}">
  <sheetPr>
    <pageSetUpPr fitToPage="1"/>
  </sheetPr>
  <dimension ref="A1:Z86"/>
  <sheetViews>
    <sheetView view="pageBreakPreview" zoomScale="70" zoomScaleNormal="100" zoomScaleSheetLayoutView="70" zoomScalePageLayoutView="85" workbookViewId="0">
      <selection activeCell="AD4" sqref="AD4"/>
    </sheetView>
  </sheetViews>
  <sheetFormatPr defaultColWidth="8.7109375" defaultRowHeight="15"/>
  <cols>
    <col min="1" max="1" width="32.140625" style="113" customWidth="1"/>
    <col min="2" max="2" width="12.7109375" style="113" bestFit="1" customWidth="1"/>
    <col min="3" max="3" width="11.28515625" style="113" bestFit="1" customWidth="1"/>
    <col min="4" max="4" width="12.7109375" style="113" bestFit="1" customWidth="1"/>
    <col min="5" max="5" width="11.42578125" style="113" bestFit="1" customWidth="1"/>
    <col min="6" max="6" width="13.42578125" style="113" bestFit="1" customWidth="1"/>
    <col min="7" max="7" width="17.85546875" style="113" bestFit="1" customWidth="1"/>
    <col min="8" max="8" width="20" style="113" hidden="1" customWidth="1"/>
    <col min="9" max="9" width="17.85546875" style="113" hidden="1" customWidth="1"/>
    <col min="10" max="10" width="20" style="113" hidden="1" customWidth="1"/>
    <col min="11" max="11" width="17.85546875" style="113" hidden="1" customWidth="1"/>
    <col min="12" max="12" width="20" style="113" hidden="1" customWidth="1"/>
    <col min="13" max="13" width="17.85546875" style="113" hidden="1" customWidth="1"/>
    <col min="14" max="14" width="20" style="113" hidden="1" customWidth="1"/>
    <col min="15" max="15" width="13.42578125" style="113" hidden="1" customWidth="1"/>
    <col min="16" max="16" width="11.42578125" style="113" hidden="1" customWidth="1"/>
    <col min="17" max="17" width="13.42578125" style="113" hidden="1" customWidth="1"/>
    <col min="18" max="18" width="11.42578125" style="113" hidden="1" customWidth="1"/>
    <col min="19" max="19" width="13.42578125" style="113" hidden="1" customWidth="1"/>
    <col min="20" max="20" width="11.42578125" style="113" hidden="1" customWidth="1"/>
    <col min="21" max="21" width="13.42578125" style="113" hidden="1" customWidth="1"/>
    <col min="22" max="22" width="11.42578125" style="113" hidden="1" customWidth="1"/>
    <col min="23" max="23" width="13.42578125" style="113" hidden="1" customWidth="1"/>
    <col min="24" max="24" width="11.42578125" style="135" hidden="1" customWidth="1"/>
    <col min="25" max="25" width="13.42578125" style="135" hidden="1" customWidth="1"/>
    <col min="26" max="26" width="11.42578125" style="135" hidden="1" customWidth="1"/>
    <col min="27" max="16384" width="8.7109375" style="135"/>
  </cols>
  <sheetData>
    <row r="1" spans="1:14" ht="55.15" customHeight="1">
      <c r="A1" s="548"/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4" ht="33" customHeight="1">
      <c r="A2" s="549" t="s">
        <v>305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</row>
    <row r="3" spans="1:14" ht="31.5" customHeight="1">
      <c r="A3" s="550" t="s">
        <v>186</v>
      </c>
      <c r="B3" s="551" t="s">
        <v>187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</row>
    <row r="4" spans="1:14" ht="33.75" customHeight="1">
      <c r="A4" s="550"/>
      <c r="B4" s="230" t="s">
        <v>43</v>
      </c>
      <c r="C4" s="231" t="s">
        <v>44</v>
      </c>
      <c r="D4" s="232" t="s">
        <v>45</v>
      </c>
      <c r="E4" s="232" t="s">
        <v>46</v>
      </c>
      <c r="F4" s="232" t="s">
        <v>47</v>
      </c>
      <c r="G4" s="235" t="s">
        <v>48</v>
      </c>
      <c r="H4" s="232" t="s">
        <v>49</v>
      </c>
      <c r="I4" s="232" t="s">
        <v>50</v>
      </c>
      <c r="J4" s="232" t="s">
        <v>51</v>
      </c>
      <c r="K4" s="232" t="s">
        <v>52</v>
      </c>
      <c r="L4" s="232" t="s">
        <v>53</v>
      </c>
      <c r="M4" s="232" t="s">
        <v>54</v>
      </c>
      <c r="N4" s="229" t="s">
        <v>188</v>
      </c>
    </row>
    <row r="5" spans="1:14" ht="30" customHeight="1">
      <c r="A5" s="234" t="s">
        <v>33</v>
      </c>
      <c r="B5" s="310">
        <v>0.96909999999999996</v>
      </c>
      <c r="C5" s="310">
        <v>0.93600000000000005</v>
      </c>
      <c r="D5" s="310">
        <v>0.83740000000000003</v>
      </c>
      <c r="E5" s="308"/>
      <c r="F5" s="308"/>
      <c r="G5" s="308"/>
      <c r="H5" s="309"/>
      <c r="I5" s="309"/>
      <c r="J5" s="309"/>
      <c r="K5" s="309"/>
      <c r="L5" s="309"/>
      <c r="M5" s="309"/>
      <c r="N5" s="117">
        <f>(SUM(B5:M5)/12)</f>
        <v>0.22854166666666667</v>
      </c>
    </row>
    <row r="6" spans="1:14" ht="30" customHeight="1">
      <c r="A6" s="227" t="s">
        <v>189</v>
      </c>
      <c r="B6" s="310">
        <v>0.83020000000000005</v>
      </c>
      <c r="C6" s="310">
        <v>0.79890000000000005</v>
      </c>
      <c r="D6" s="310">
        <v>0.69610000000000005</v>
      </c>
      <c r="E6" s="308"/>
      <c r="F6" s="308"/>
      <c r="G6" s="308"/>
      <c r="H6" s="308"/>
      <c r="I6" s="308"/>
      <c r="J6" s="308"/>
      <c r="K6" s="308"/>
      <c r="L6" s="308"/>
      <c r="M6" s="308"/>
      <c r="N6" s="118">
        <f>(SUM(B6:M6)/12)</f>
        <v>0.19376666666666667</v>
      </c>
    </row>
    <row r="7" spans="1:14" ht="30" customHeight="1">
      <c r="A7" s="227" t="s">
        <v>35</v>
      </c>
      <c r="B7" s="310">
        <v>0.8387</v>
      </c>
      <c r="C7" s="310">
        <v>0.84740000000000004</v>
      </c>
      <c r="D7" s="310">
        <v>0.80059999999999998</v>
      </c>
      <c r="E7" s="308"/>
      <c r="F7" s="308"/>
      <c r="G7" s="308"/>
      <c r="H7" s="308"/>
      <c r="I7" s="308"/>
      <c r="J7" s="308"/>
      <c r="K7" s="308"/>
      <c r="L7" s="308"/>
      <c r="M7" s="308"/>
      <c r="N7" s="118">
        <f>(SUM(B7:M7)/12)</f>
        <v>0.20722499999999999</v>
      </c>
    </row>
    <row r="8" spans="1:14" ht="30" customHeight="1">
      <c r="A8" s="227" t="s">
        <v>190</v>
      </c>
      <c r="B8" s="310">
        <v>0.95850000000000002</v>
      </c>
      <c r="C8" s="310">
        <v>0.90310000000000001</v>
      </c>
      <c r="D8" s="310">
        <v>0.97699999999999998</v>
      </c>
      <c r="E8" s="308"/>
      <c r="F8" s="308"/>
      <c r="G8" s="308"/>
      <c r="H8" s="308"/>
      <c r="I8" s="308"/>
      <c r="J8" s="308"/>
      <c r="K8" s="308"/>
      <c r="L8" s="308"/>
      <c r="M8" s="308"/>
      <c r="N8" s="118">
        <f>(SUM(B8:M8)/12)</f>
        <v>0.23655000000000001</v>
      </c>
    </row>
    <row r="9" spans="1:14" ht="30" customHeight="1">
      <c r="A9" s="227" t="s">
        <v>191</v>
      </c>
      <c r="B9" s="310">
        <v>0.93130000000000002</v>
      </c>
      <c r="C9" s="310">
        <v>0.91859999999999997</v>
      </c>
      <c r="D9" s="310">
        <f>'DESEMPENHO - 2026'!N4</f>
        <v>0.8397673188789001</v>
      </c>
      <c r="E9" s="308"/>
      <c r="F9" s="308"/>
      <c r="G9" s="308"/>
      <c r="H9" s="308"/>
      <c r="I9" s="308"/>
      <c r="J9" s="308"/>
      <c r="K9" s="308"/>
      <c r="L9" s="308"/>
      <c r="M9" s="308"/>
      <c r="N9" s="118">
        <f>(SUM(B9:M9)/12)</f>
        <v>0.22413894323990835</v>
      </c>
    </row>
    <row r="10" spans="1:14">
      <c r="A10" s="552"/>
      <c r="B10" s="552"/>
      <c r="C10" s="552"/>
      <c r="D10" s="552"/>
      <c r="E10" s="552"/>
      <c r="F10" s="552"/>
      <c r="G10" s="552"/>
      <c r="H10" s="552"/>
      <c r="I10" s="552"/>
      <c r="J10" s="552"/>
      <c r="K10" s="552"/>
      <c r="L10" s="552"/>
      <c r="M10" s="552"/>
      <c r="N10" s="552"/>
    </row>
    <row r="11" spans="1:14" ht="30" customHeight="1">
      <c r="A11" s="546" t="s">
        <v>186</v>
      </c>
      <c r="B11" s="547" t="s">
        <v>192</v>
      </c>
      <c r="C11" s="547"/>
      <c r="D11" s="547"/>
      <c r="E11" s="547"/>
      <c r="F11" s="547"/>
      <c r="G11" s="547"/>
      <c r="H11" s="547"/>
      <c r="I11" s="547"/>
      <c r="J11" s="547"/>
      <c r="K11" s="547"/>
      <c r="L11" s="547"/>
      <c r="M11" s="547"/>
      <c r="N11" s="547"/>
    </row>
    <row r="12" spans="1:14" ht="32.25" customHeight="1">
      <c r="A12" s="546"/>
      <c r="B12" s="229" t="s">
        <v>43</v>
      </c>
      <c r="C12" s="231" t="s">
        <v>44</v>
      </c>
      <c r="D12" s="232" t="s">
        <v>45</v>
      </c>
      <c r="E12" s="232" t="s">
        <v>46</v>
      </c>
      <c r="F12" s="232" t="s">
        <v>47</v>
      </c>
      <c r="G12" s="232" t="s">
        <v>48</v>
      </c>
      <c r="H12" s="232" t="s">
        <v>49</v>
      </c>
      <c r="I12" s="232" t="s">
        <v>50</v>
      </c>
      <c r="J12" s="232" t="s">
        <v>51</v>
      </c>
      <c r="K12" s="232" t="s">
        <v>52</v>
      </c>
      <c r="L12" s="232" t="s">
        <v>53</v>
      </c>
      <c r="M12" s="232" t="s">
        <v>54</v>
      </c>
      <c r="N12" s="229" t="s">
        <v>188</v>
      </c>
    </row>
    <row r="13" spans="1:14" ht="30" customHeight="1">
      <c r="A13" s="227" t="s">
        <v>33</v>
      </c>
      <c r="B13" s="324">
        <v>4.62</v>
      </c>
      <c r="C13" s="403">
        <v>3.74</v>
      </c>
      <c r="D13" s="403">
        <v>3.4</v>
      </c>
      <c r="E13" s="119"/>
      <c r="F13" s="119"/>
      <c r="G13" s="119"/>
      <c r="H13" s="120"/>
      <c r="I13" s="120"/>
      <c r="J13" s="120"/>
      <c r="K13" s="120"/>
      <c r="L13" s="262"/>
      <c r="M13" s="262"/>
      <c r="N13" s="121">
        <f>(SUM(B13:M13)/12)</f>
        <v>0.98</v>
      </c>
    </row>
    <row r="14" spans="1:14" ht="30" customHeight="1">
      <c r="A14" s="227" t="s">
        <v>189</v>
      </c>
      <c r="B14" s="324">
        <v>3.4</v>
      </c>
      <c r="C14" s="403">
        <v>3.15</v>
      </c>
      <c r="D14" s="403">
        <v>2.27</v>
      </c>
      <c r="E14" s="119"/>
      <c r="F14" s="119"/>
      <c r="G14" s="119"/>
      <c r="H14" s="120"/>
      <c r="I14" s="120"/>
      <c r="J14" s="120"/>
      <c r="K14" s="120"/>
      <c r="L14" s="262"/>
      <c r="M14" s="262"/>
      <c r="N14" s="121">
        <f>(SUM(B14:M14)/12)</f>
        <v>0.73499999999999999</v>
      </c>
    </row>
    <row r="15" spans="1:14" ht="30" customHeight="1">
      <c r="A15" s="227" t="s">
        <v>35</v>
      </c>
      <c r="B15" s="324">
        <v>2.59</v>
      </c>
      <c r="C15" s="403">
        <v>2.97</v>
      </c>
      <c r="D15" s="403">
        <v>2.7</v>
      </c>
      <c r="E15" s="119"/>
      <c r="F15" s="119"/>
      <c r="G15" s="119"/>
      <c r="H15" s="120"/>
      <c r="I15" s="120"/>
      <c r="J15" s="120"/>
      <c r="K15" s="120"/>
      <c r="L15" s="262"/>
      <c r="M15" s="262"/>
      <c r="N15" s="121">
        <f>(SUM(B15:M15)/12)</f>
        <v>0.68833333333333346</v>
      </c>
    </row>
    <row r="16" spans="1:14" ht="30" customHeight="1">
      <c r="A16" s="228" t="s">
        <v>190</v>
      </c>
      <c r="B16" s="325">
        <v>4.43</v>
      </c>
      <c r="C16" s="404">
        <v>3.61</v>
      </c>
      <c r="D16" s="404">
        <v>4.82</v>
      </c>
      <c r="E16" s="122"/>
      <c r="F16" s="122"/>
      <c r="G16" s="122"/>
      <c r="H16" s="123"/>
      <c r="I16" s="123"/>
      <c r="J16" s="123"/>
      <c r="K16" s="123"/>
      <c r="L16" s="263"/>
      <c r="M16" s="263"/>
      <c r="N16" s="121">
        <f>(SUM(B16:M16)/12)</f>
        <v>1.0716666666666665</v>
      </c>
    </row>
    <row r="17" spans="1:14" ht="30" customHeight="1">
      <c r="A17" s="229" t="s">
        <v>191</v>
      </c>
      <c r="B17" s="334">
        <f>'DESEMPENHO - 2026'!L8</f>
        <v>3.524</v>
      </c>
      <c r="C17" s="405">
        <v>3.3</v>
      </c>
      <c r="D17" s="405">
        <v>3.16</v>
      </c>
      <c r="E17" s="192"/>
      <c r="F17" s="192"/>
      <c r="G17" s="192"/>
      <c r="H17" s="192"/>
      <c r="I17" s="192"/>
      <c r="J17" s="192"/>
      <c r="K17" s="192"/>
      <c r="L17" s="264"/>
      <c r="M17" s="264"/>
      <c r="N17" s="124">
        <f>(SUM(B17:M17)/12)</f>
        <v>0.83199999999999996</v>
      </c>
    </row>
    <row r="18" spans="1:14">
      <c r="A18" s="548"/>
      <c r="B18" s="548"/>
      <c r="C18" s="548"/>
      <c r="D18" s="548"/>
      <c r="E18" s="548"/>
      <c r="F18" s="548"/>
      <c r="G18" s="548"/>
      <c r="H18" s="548"/>
      <c r="I18" s="548"/>
      <c r="J18" s="548"/>
      <c r="K18" s="548"/>
      <c r="L18" s="548"/>
      <c r="M18" s="548"/>
      <c r="N18" s="548"/>
    </row>
    <row r="19" spans="1:14" ht="30.75" customHeight="1">
      <c r="A19" s="546" t="s">
        <v>186</v>
      </c>
      <c r="B19" s="547" t="s">
        <v>193</v>
      </c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</row>
    <row r="20" spans="1:14" ht="33" customHeight="1">
      <c r="A20" s="546"/>
      <c r="B20" s="229" t="s">
        <v>43</v>
      </c>
      <c r="C20" s="231" t="s">
        <v>44</v>
      </c>
      <c r="D20" s="232" t="s">
        <v>45</v>
      </c>
      <c r="E20" s="232" t="s">
        <v>46</v>
      </c>
      <c r="F20" s="232" t="s">
        <v>47</v>
      </c>
      <c r="G20" s="232" t="s">
        <v>48</v>
      </c>
      <c r="H20" s="232" t="s">
        <v>49</v>
      </c>
      <c r="I20" s="232" t="s">
        <v>50</v>
      </c>
      <c r="J20" s="232" t="s">
        <v>51</v>
      </c>
      <c r="K20" s="232" t="s">
        <v>52</v>
      </c>
      <c r="L20" s="232" t="s">
        <v>53</v>
      </c>
      <c r="M20" s="232" t="s">
        <v>54</v>
      </c>
      <c r="N20" s="229" t="s">
        <v>188</v>
      </c>
    </row>
    <row r="21" spans="1:14" ht="30" customHeight="1">
      <c r="A21" s="229" t="s">
        <v>33</v>
      </c>
      <c r="B21" s="326">
        <f>(((100-96.91)*4.62)/96.91)*24</f>
        <v>3.5354370034052254</v>
      </c>
      <c r="C21" s="326">
        <f>(((100-93.6)*3.74)/93.6)*24</f>
        <v>6.1374358974359033</v>
      </c>
      <c r="D21" s="326">
        <f>(((100-83.74)*3.4)/83.74)*24</f>
        <v>15.844470981609749</v>
      </c>
      <c r="E21" s="125"/>
      <c r="F21" s="125"/>
      <c r="G21" s="125"/>
      <c r="H21" s="126"/>
      <c r="I21" s="126"/>
      <c r="J21" s="126"/>
      <c r="K21" s="126"/>
      <c r="L21" s="265"/>
      <c r="M21" s="265"/>
      <c r="N21" s="127">
        <f>(SUM(B21:M21)/12)</f>
        <v>2.1264453235375731</v>
      </c>
    </row>
    <row r="22" spans="1:14" ht="30" customHeight="1">
      <c r="A22" s="229" t="s">
        <v>189</v>
      </c>
      <c r="B22" s="326">
        <f>(((100-83.02)*3.4)/83.02)*24</f>
        <v>16.689568778607569</v>
      </c>
      <c r="C22" s="326">
        <f>(((100-79.89)*3.15)/79.89)*24</f>
        <v>19.030116410063837</v>
      </c>
      <c r="D22" s="326">
        <f>(((100-69.61)*2.27)/69.61)*24</f>
        <v>23.784617152707945</v>
      </c>
      <c r="E22" s="119"/>
      <c r="F22" s="119"/>
      <c r="G22" s="119"/>
      <c r="H22" s="120"/>
      <c r="I22" s="120"/>
      <c r="J22" s="120"/>
      <c r="K22" s="120"/>
      <c r="L22" s="265"/>
      <c r="M22" s="263"/>
      <c r="N22" s="121">
        <f>(SUM(B22:M22)/12)</f>
        <v>4.9586918617816123</v>
      </c>
    </row>
    <row r="23" spans="1:14" ht="30" customHeight="1">
      <c r="A23" s="229" t="s">
        <v>35</v>
      </c>
      <c r="B23" s="326">
        <f>(((100-83.87)*2.17)/83.87)*24</f>
        <v>10.016101108858946</v>
      </c>
      <c r="C23" s="326">
        <f>(((100-84.74)*2.97)/84.74)*24</f>
        <v>12.836119896152944</v>
      </c>
      <c r="D23" s="326">
        <f>(((100-80.06)*2.7)/80.06)*24</f>
        <v>16.139295528353731</v>
      </c>
      <c r="E23" s="119"/>
      <c r="F23" s="119"/>
      <c r="G23" s="119"/>
      <c r="H23" s="120"/>
      <c r="I23" s="120"/>
      <c r="J23" s="120"/>
      <c r="K23" s="120"/>
      <c r="L23" s="265"/>
      <c r="M23" s="262"/>
      <c r="N23" s="121">
        <f>(SUM(B23:M23)/12)</f>
        <v>3.2492930444471355</v>
      </c>
    </row>
    <row r="24" spans="1:14" ht="30" customHeight="1">
      <c r="A24" s="229" t="s">
        <v>190</v>
      </c>
      <c r="B24" s="326">
        <f>(((100-95.85)*4.43)/95.85)*24</f>
        <v>4.6033176838810705</v>
      </c>
      <c r="C24" s="326">
        <f>(((100-90.31)*3.61)/90.31)*24</f>
        <v>9.2962196877422194</v>
      </c>
      <c r="D24" s="326">
        <f>(((100-97.7)*4.82)/97.7)*24</f>
        <v>2.7232753326509687</v>
      </c>
      <c r="E24" s="119"/>
      <c r="F24" s="119"/>
      <c r="G24" s="119"/>
      <c r="H24" s="120"/>
      <c r="I24" s="120"/>
      <c r="J24" s="120"/>
      <c r="K24" s="120"/>
      <c r="L24" s="262"/>
      <c r="M24" s="262"/>
      <c r="N24" s="121">
        <f>(SUM(B24:M24)/12)</f>
        <v>1.3852343920228547</v>
      </c>
    </row>
    <row r="25" spans="1:14" ht="30" customHeight="1">
      <c r="A25" s="229" t="s">
        <v>191</v>
      </c>
      <c r="B25" s="327">
        <f>'DESEMPENHO - 2026'!L12</f>
        <v>6.2319080854719253</v>
      </c>
      <c r="C25" s="406">
        <f>'DESEMPENHO - 2026'!M12</f>
        <v>7.0181580666231227</v>
      </c>
      <c r="D25" s="406">
        <f>'DESEMPENHO - 2026'!N12</f>
        <v>14.467216003810426</v>
      </c>
      <c r="E25" s="254"/>
      <c r="F25" s="254"/>
      <c r="G25" s="254"/>
      <c r="H25" s="254"/>
      <c r="I25" s="254"/>
      <c r="J25" s="254"/>
      <c r="K25" s="254"/>
      <c r="L25" s="266"/>
      <c r="M25" s="266"/>
      <c r="N25" s="253">
        <f>(SUM(B25:M25)/12)</f>
        <v>2.3097735129921229</v>
      </c>
    </row>
    <row r="26" spans="1:14">
      <c r="A26" s="548"/>
      <c r="B26" s="548"/>
      <c r="C26" s="548"/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</row>
    <row r="27" spans="1:14" ht="43.9" customHeight="1">
      <c r="A27" s="546" t="s">
        <v>194</v>
      </c>
      <c r="B27" s="547" t="s">
        <v>195</v>
      </c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</row>
    <row r="28" spans="1:14" ht="30" customHeight="1">
      <c r="A28" s="546"/>
      <c r="B28" s="407" t="s">
        <v>43</v>
      </c>
      <c r="C28" s="408" t="s">
        <v>44</v>
      </c>
      <c r="D28" s="409" t="s">
        <v>45</v>
      </c>
      <c r="E28" s="409" t="s">
        <v>46</v>
      </c>
      <c r="F28" s="409" t="s">
        <v>47</v>
      </c>
      <c r="G28" s="409" t="s">
        <v>48</v>
      </c>
      <c r="H28" s="409" t="s">
        <v>49</v>
      </c>
      <c r="I28" s="409" t="s">
        <v>50</v>
      </c>
      <c r="J28" s="409" t="s">
        <v>51</v>
      </c>
      <c r="K28" s="409" t="s">
        <v>52</v>
      </c>
      <c r="L28" s="409" t="s">
        <v>53</v>
      </c>
      <c r="M28" s="409" t="s">
        <v>54</v>
      </c>
      <c r="N28" s="229" t="s">
        <v>188</v>
      </c>
    </row>
    <row r="29" spans="1:14" ht="49.5" customHeight="1">
      <c r="A29" s="229" t="s">
        <v>196</v>
      </c>
      <c r="B29" s="335">
        <v>58</v>
      </c>
      <c r="C29" s="427">
        <v>58</v>
      </c>
      <c r="D29" s="427">
        <v>58</v>
      </c>
      <c r="E29" s="410"/>
      <c r="F29" s="410"/>
      <c r="G29" s="411"/>
      <c r="H29" s="411"/>
      <c r="I29" s="411"/>
      <c r="J29" s="411"/>
      <c r="K29" s="411"/>
      <c r="L29" s="412"/>
      <c r="M29" s="412"/>
      <c r="N29" s="121">
        <f t="shared" ref="N29:N34" si="0">(SUM(B29:M29)/12)</f>
        <v>14.5</v>
      </c>
    </row>
    <row r="30" spans="1:14" ht="49.5" customHeight="1">
      <c r="A30" s="234" t="s">
        <v>197</v>
      </c>
      <c r="B30" s="336">
        <v>153</v>
      </c>
      <c r="C30" s="427">
        <v>154</v>
      </c>
      <c r="D30" s="427">
        <v>156</v>
      </c>
      <c r="E30" s="410"/>
      <c r="F30" s="410"/>
      <c r="G30" s="411"/>
      <c r="H30" s="411"/>
      <c r="I30" s="411"/>
      <c r="J30" s="411"/>
      <c r="K30" s="411"/>
      <c r="L30" s="413"/>
      <c r="M30" s="413"/>
      <c r="N30" s="121">
        <f t="shared" si="0"/>
        <v>38.583333333333336</v>
      </c>
    </row>
    <row r="31" spans="1:14" ht="49.5" customHeight="1">
      <c r="A31" s="227" t="s">
        <v>198</v>
      </c>
      <c r="B31" s="336">
        <v>437</v>
      </c>
      <c r="C31" s="427">
        <v>437</v>
      </c>
      <c r="D31" s="427">
        <v>442</v>
      </c>
      <c r="E31" s="410"/>
      <c r="F31" s="410"/>
      <c r="G31" s="414"/>
      <c r="H31" s="415"/>
      <c r="I31" s="411"/>
      <c r="J31" s="411"/>
      <c r="K31" s="411"/>
      <c r="L31" s="412"/>
      <c r="M31" s="412"/>
      <c r="N31" s="121">
        <f t="shared" si="0"/>
        <v>109.66666666666667</v>
      </c>
    </row>
    <row r="32" spans="1:14" ht="49.5" customHeight="1">
      <c r="A32" s="228" t="s">
        <v>199</v>
      </c>
      <c r="B32" s="337">
        <v>122</v>
      </c>
      <c r="C32" s="337">
        <v>122</v>
      </c>
      <c r="D32" s="437">
        <v>122</v>
      </c>
      <c r="E32" s="416"/>
      <c r="F32" s="416"/>
      <c r="G32" s="417"/>
      <c r="H32" s="417"/>
      <c r="I32" s="418"/>
      <c r="J32" s="418"/>
      <c r="K32" s="418"/>
      <c r="L32" s="419"/>
      <c r="M32" s="419"/>
      <c r="N32" s="121">
        <f t="shared" si="0"/>
        <v>30.5</v>
      </c>
    </row>
    <row r="33" spans="1:14" ht="49.5" customHeight="1">
      <c r="A33" s="229" t="s">
        <v>200</v>
      </c>
      <c r="B33" s="335">
        <v>59</v>
      </c>
      <c r="C33" s="335">
        <v>59</v>
      </c>
      <c r="D33" s="427">
        <v>59</v>
      </c>
      <c r="E33" s="410"/>
      <c r="F33" s="410"/>
      <c r="G33" s="414"/>
      <c r="H33" s="414"/>
      <c r="I33" s="411"/>
      <c r="J33" s="411"/>
      <c r="K33" s="411"/>
      <c r="L33" s="412"/>
      <c r="M33" s="412"/>
      <c r="N33" s="129">
        <f t="shared" si="0"/>
        <v>14.75</v>
      </c>
    </row>
    <row r="34" spans="1:14" ht="49.5" customHeight="1">
      <c r="A34" s="229" t="s">
        <v>201</v>
      </c>
      <c r="B34" s="335">
        <v>1891</v>
      </c>
      <c r="C34" s="335">
        <v>1708</v>
      </c>
      <c r="D34" s="335">
        <v>1891</v>
      </c>
      <c r="E34" s="420"/>
      <c r="F34" s="420"/>
      <c r="G34" s="420"/>
      <c r="H34" s="420"/>
      <c r="I34" s="420"/>
      <c r="J34" s="420"/>
      <c r="K34" s="420"/>
      <c r="L34" s="421"/>
      <c r="M34" s="421"/>
      <c r="N34" s="129">
        <f t="shared" si="0"/>
        <v>457.5</v>
      </c>
    </row>
    <row r="35" spans="1:14">
      <c r="A35" s="536"/>
      <c r="B35" s="536"/>
      <c r="C35" s="536"/>
      <c r="D35" s="536"/>
      <c r="E35" s="536"/>
      <c r="F35" s="536"/>
      <c r="G35" s="536"/>
      <c r="H35" s="536"/>
    </row>
    <row r="36" spans="1:14">
      <c r="A36" s="536"/>
      <c r="B36" s="536"/>
      <c r="C36" s="536"/>
      <c r="D36" s="536"/>
      <c r="E36" s="536"/>
      <c r="F36" s="536"/>
      <c r="G36" s="536"/>
      <c r="H36" s="536"/>
    </row>
    <row r="37" spans="1:14" ht="27.6" customHeight="1">
      <c r="A37" s="559" t="s">
        <v>266</v>
      </c>
      <c r="B37" s="556" t="s">
        <v>202</v>
      </c>
      <c r="C37" s="557"/>
      <c r="D37" s="557"/>
      <c r="E37" s="557"/>
      <c r="F37" s="557"/>
      <c r="G37" s="557"/>
      <c r="H37" s="557"/>
      <c r="I37" s="557"/>
      <c r="J37" s="557"/>
      <c r="K37" s="557"/>
      <c r="L37" s="557"/>
      <c r="M37" s="558"/>
      <c r="N37" s="193"/>
    </row>
    <row r="38" spans="1:14" ht="29.25" customHeight="1">
      <c r="A38" s="560"/>
      <c r="B38" s="230" t="s">
        <v>43</v>
      </c>
      <c r="C38" s="231" t="s">
        <v>44</v>
      </c>
      <c r="D38" s="232" t="s">
        <v>45</v>
      </c>
      <c r="E38" s="232" t="s">
        <v>46</v>
      </c>
      <c r="F38" s="232" t="s">
        <v>47</v>
      </c>
      <c r="G38" s="232" t="s">
        <v>48</v>
      </c>
      <c r="H38" s="232" t="s">
        <v>49</v>
      </c>
      <c r="I38" s="232" t="s">
        <v>50</v>
      </c>
      <c r="J38" s="235" t="s">
        <v>51</v>
      </c>
      <c r="K38" s="232" t="s">
        <v>52</v>
      </c>
      <c r="L38" s="232" t="s">
        <v>53</v>
      </c>
      <c r="M38" s="232" t="s">
        <v>54</v>
      </c>
      <c r="N38" s="114" t="s">
        <v>188</v>
      </c>
    </row>
    <row r="39" spans="1:14" ht="33.75" customHeight="1">
      <c r="A39" s="233" t="s">
        <v>203</v>
      </c>
      <c r="B39" s="438">
        <v>0.95</v>
      </c>
      <c r="C39" s="439">
        <v>0.95</v>
      </c>
      <c r="D39" s="440">
        <v>0.95</v>
      </c>
      <c r="E39" s="131"/>
      <c r="F39" s="126"/>
      <c r="G39" s="242"/>
      <c r="H39" s="131"/>
      <c r="I39" s="131"/>
      <c r="J39" s="251"/>
      <c r="K39" s="131"/>
      <c r="L39" s="267"/>
      <c r="M39" s="267"/>
      <c r="N39" s="127">
        <f>(SUM(B39:M39)/12)</f>
        <v>0.23749999999999996</v>
      </c>
    </row>
    <row r="40" spans="1:14" ht="33.75" customHeight="1">
      <c r="A40" s="234" t="s">
        <v>204</v>
      </c>
      <c r="B40" s="441">
        <v>2.5099999999999998</v>
      </c>
      <c r="C40" s="442">
        <v>2.52</v>
      </c>
      <c r="D40" s="441">
        <v>2.56</v>
      </c>
      <c r="E40" s="132"/>
      <c r="F40" s="120"/>
      <c r="G40" s="130"/>
      <c r="H40" s="132"/>
      <c r="I40" s="132"/>
      <c r="J40" s="132"/>
      <c r="K40" s="131"/>
      <c r="L40" s="267"/>
      <c r="M40" s="267"/>
      <c r="N40" s="121">
        <f>(SUM(B40:M40)/12)</f>
        <v>0.63249999999999995</v>
      </c>
    </row>
    <row r="41" spans="1:14" ht="33.75" customHeight="1">
      <c r="A41" s="227" t="s">
        <v>205</v>
      </c>
      <c r="B41" s="441">
        <v>7.16</v>
      </c>
      <c r="C41" s="442">
        <v>7.16</v>
      </c>
      <c r="D41" s="441">
        <v>7.25</v>
      </c>
      <c r="E41" s="132"/>
      <c r="F41" s="120"/>
      <c r="G41" s="130"/>
      <c r="H41" s="132"/>
      <c r="I41" s="132"/>
      <c r="J41" s="132"/>
      <c r="K41" s="132"/>
      <c r="L41" s="268"/>
      <c r="M41" s="268"/>
      <c r="N41" s="121">
        <f>(SUM(B41:M41)/12)</f>
        <v>1.7975000000000001</v>
      </c>
    </row>
    <row r="42" spans="1:14" ht="33.75" customHeight="1">
      <c r="A42" s="235" t="s">
        <v>206</v>
      </c>
      <c r="B42" s="443">
        <v>1.83E-2</v>
      </c>
      <c r="C42" s="443">
        <v>1.03E-2</v>
      </c>
      <c r="D42" s="443">
        <v>1.9199999999999998E-2</v>
      </c>
      <c r="E42" s="115"/>
      <c r="F42" s="115"/>
      <c r="G42" s="133"/>
      <c r="H42" s="115"/>
      <c r="I42" s="115"/>
      <c r="J42" s="115"/>
      <c r="K42" s="115"/>
      <c r="L42" s="269"/>
      <c r="M42" s="260"/>
      <c r="N42" s="134">
        <f>(SUM(B42:M42)/12)</f>
        <v>3.9833333333333327E-3</v>
      </c>
    </row>
    <row r="43" spans="1:14" ht="33.75" customHeight="1">
      <c r="A43" s="227" t="s">
        <v>207</v>
      </c>
      <c r="B43" s="443">
        <f>B33/B32</f>
        <v>0.48360655737704916</v>
      </c>
      <c r="C43" s="443">
        <f>C33/C32</f>
        <v>0.48360655737704916</v>
      </c>
      <c r="D43" s="443">
        <f>D33/D32</f>
        <v>0.48360655737704916</v>
      </c>
      <c r="E43" s="115"/>
      <c r="F43" s="115"/>
      <c r="G43" s="115"/>
      <c r="H43" s="115"/>
      <c r="I43" s="115"/>
      <c r="J43" s="115"/>
      <c r="K43" s="115"/>
      <c r="L43" s="260"/>
      <c r="M43" s="260"/>
      <c r="N43" s="115">
        <f t="shared" ref="N43" si="1">N33/N32</f>
        <v>0.48360655737704916</v>
      </c>
    </row>
    <row r="44" spans="1:14" ht="19.5" customHeight="1">
      <c r="A44" s="553"/>
      <c r="B44" s="553"/>
      <c r="C44" s="553"/>
      <c r="D44" s="553"/>
      <c r="E44" s="553"/>
      <c r="F44" s="553"/>
      <c r="G44" s="553"/>
      <c r="H44" s="553"/>
      <c r="I44" s="553"/>
      <c r="J44" s="553"/>
      <c r="K44" s="553"/>
      <c r="L44" s="553"/>
      <c r="M44" s="553"/>
      <c r="N44" s="553"/>
    </row>
    <row r="45" spans="1:14" ht="30.6" customHeight="1">
      <c r="A45" s="561" t="s">
        <v>42</v>
      </c>
      <c r="B45" s="556" t="s">
        <v>289</v>
      </c>
      <c r="C45" s="557"/>
      <c r="D45" s="557"/>
      <c r="E45" s="557"/>
      <c r="F45" s="557"/>
      <c r="G45" s="557"/>
      <c r="H45" s="557"/>
      <c r="I45" s="557"/>
      <c r="J45" s="557"/>
      <c r="K45" s="557"/>
      <c r="L45" s="557"/>
      <c r="M45" s="558"/>
      <c r="N45" s="194"/>
    </row>
    <row r="46" spans="1:14" ht="33" customHeight="1">
      <c r="A46" s="562"/>
      <c r="B46" s="229" t="s">
        <v>43</v>
      </c>
      <c r="C46" s="231" t="s">
        <v>44</v>
      </c>
      <c r="D46" s="232" t="s">
        <v>45</v>
      </c>
      <c r="E46" s="232" t="s">
        <v>46</v>
      </c>
      <c r="F46" s="232" t="s">
        <v>47</v>
      </c>
      <c r="G46" s="232" t="s">
        <v>48</v>
      </c>
      <c r="H46" s="232" t="s">
        <v>49</v>
      </c>
      <c r="I46" s="232" t="s">
        <v>50</v>
      </c>
      <c r="J46" s="232" t="s">
        <v>51</v>
      </c>
      <c r="K46" s="232" t="s">
        <v>52</v>
      </c>
      <c r="L46" s="232" t="s">
        <v>53</v>
      </c>
      <c r="M46" s="232" t="s">
        <v>54</v>
      </c>
      <c r="N46" s="114" t="s">
        <v>208</v>
      </c>
    </row>
    <row r="47" spans="1:14" ht="35.25" customHeight="1">
      <c r="A47" s="227" t="s">
        <v>209</v>
      </c>
      <c r="B47" s="328">
        <v>0.317</v>
      </c>
      <c r="C47" s="328">
        <v>0.38200000000000001</v>
      </c>
      <c r="D47" s="424">
        <v>0.2545</v>
      </c>
      <c r="E47" s="133"/>
      <c r="F47" s="133"/>
      <c r="G47" s="133"/>
      <c r="H47" s="133"/>
      <c r="I47" s="133"/>
      <c r="J47" s="133"/>
      <c r="K47" s="133"/>
      <c r="L47" s="270"/>
      <c r="M47" s="270"/>
      <c r="N47" s="134">
        <f t="shared" ref="N47:N52" si="2">(SUM(B47:M47)/12)</f>
        <v>7.9458333333333339E-2</v>
      </c>
    </row>
    <row r="48" spans="1:14" ht="35.25" customHeight="1">
      <c r="A48" s="227" t="s">
        <v>210</v>
      </c>
      <c r="B48" s="329">
        <f>'PRODUÇÃO - 2026'!D68</f>
        <v>1264</v>
      </c>
      <c r="C48" s="329">
        <f>'PRODUÇÃO - 2026'!E68</f>
        <v>1294</v>
      </c>
      <c r="D48" s="422">
        <v>1351</v>
      </c>
      <c r="E48" s="128"/>
      <c r="F48" s="128"/>
      <c r="G48" s="128"/>
      <c r="H48" s="128"/>
      <c r="I48" s="128"/>
      <c r="J48" s="128"/>
      <c r="K48" s="128"/>
      <c r="L48" s="271"/>
      <c r="M48" s="271"/>
      <c r="N48" s="121">
        <f t="shared" si="2"/>
        <v>325.75</v>
      </c>
    </row>
    <row r="49" spans="1:26" ht="35.25" customHeight="1">
      <c r="A49" s="227" t="s">
        <v>211</v>
      </c>
      <c r="B49" s="329">
        <f>'PRODUÇÃO - 2026'!D69</f>
        <v>1071</v>
      </c>
      <c r="C49" s="329">
        <f>'PRODUÇÃO - 2026'!E69</f>
        <v>1183</v>
      </c>
      <c r="D49" s="422">
        <v>1452</v>
      </c>
      <c r="E49" s="128"/>
      <c r="F49" s="128"/>
      <c r="G49" s="128"/>
      <c r="H49" s="128"/>
      <c r="I49" s="128"/>
      <c r="J49" s="128"/>
      <c r="K49" s="128"/>
      <c r="L49" s="271"/>
      <c r="M49" s="271"/>
      <c r="N49" s="121">
        <f t="shared" si="2"/>
        <v>308.83333333333331</v>
      </c>
    </row>
    <row r="50" spans="1:26" ht="35.25" customHeight="1">
      <c r="A50" s="227" t="s">
        <v>212</v>
      </c>
      <c r="B50" s="328">
        <v>5.3800000000000001E-2</v>
      </c>
      <c r="C50" s="424">
        <v>4.07E-2</v>
      </c>
      <c r="D50" s="424">
        <v>2.7099999999999999E-2</v>
      </c>
      <c r="E50" s="133"/>
      <c r="F50" s="133"/>
      <c r="G50" s="133"/>
      <c r="H50" s="136"/>
      <c r="I50" s="133"/>
      <c r="J50" s="133"/>
      <c r="K50" s="133"/>
      <c r="L50" s="270"/>
      <c r="M50" s="270"/>
      <c r="N50" s="134">
        <f t="shared" si="2"/>
        <v>1.0133333333333333E-2</v>
      </c>
    </row>
    <row r="51" spans="1:26" ht="35.25" customHeight="1">
      <c r="A51" s="228" t="s">
        <v>213</v>
      </c>
      <c r="B51" s="330">
        <v>0</v>
      </c>
      <c r="C51" s="330">
        <v>0</v>
      </c>
      <c r="D51" s="436">
        <v>0</v>
      </c>
      <c r="E51" s="137"/>
      <c r="F51" s="137"/>
      <c r="G51" s="137"/>
      <c r="H51" s="137"/>
      <c r="I51" s="137"/>
      <c r="J51" s="137"/>
      <c r="K51" s="138"/>
      <c r="L51" s="272"/>
      <c r="M51" s="272"/>
      <c r="N51" s="134">
        <f t="shared" si="2"/>
        <v>0</v>
      </c>
    </row>
    <row r="52" spans="1:26" ht="35.25" customHeight="1">
      <c r="A52" s="229" t="s">
        <v>211</v>
      </c>
      <c r="B52" s="331">
        <v>0</v>
      </c>
      <c r="C52" s="331">
        <v>0</v>
      </c>
      <c r="D52" s="319">
        <v>0</v>
      </c>
      <c r="E52" s="115"/>
      <c r="F52" s="115"/>
      <c r="G52" s="115"/>
      <c r="H52" s="115"/>
      <c r="I52" s="115"/>
      <c r="J52" s="115"/>
      <c r="K52" s="133"/>
      <c r="L52" s="270"/>
      <c r="M52" s="270"/>
      <c r="N52" s="139">
        <f t="shared" si="2"/>
        <v>0</v>
      </c>
    </row>
    <row r="53" spans="1:26" ht="24" customHeight="1">
      <c r="A53" s="548"/>
      <c r="B53" s="548"/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  <c r="N53" s="548"/>
    </row>
    <row r="54" spans="1:26" ht="15.75" customHeight="1">
      <c r="A54" s="554" t="s">
        <v>214</v>
      </c>
      <c r="B54" s="555" t="s">
        <v>43</v>
      </c>
      <c r="C54" s="555"/>
      <c r="D54" s="555" t="s">
        <v>44</v>
      </c>
      <c r="E54" s="555"/>
      <c r="F54" s="555" t="s">
        <v>45</v>
      </c>
      <c r="G54" s="555"/>
      <c r="H54" s="555" t="s">
        <v>46</v>
      </c>
      <c r="I54" s="555"/>
      <c r="J54" s="555" t="s">
        <v>47</v>
      </c>
      <c r="K54" s="555"/>
      <c r="L54" s="555" t="s">
        <v>48</v>
      </c>
      <c r="M54" s="555"/>
      <c r="N54" s="240" t="s">
        <v>49</v>
      </c>
      <c r="O54" s="542" t="s">
        <v>49</v>
      </c>
      <c r="P54" s="543"/>
      <c r="Q54" s="542" t="s">
        <v>50</v>
      </c>
      <c r="R54" s="543"/>
      <c r="S54" s="542" t="s">
        <v>51</v>
      </c>
      <c r="T54" s="543"/>
      <c r="U54" s="542" t="s">
        <v>52</v>
      </c>
      <c r="V54" s="543"/>
      <c r="W54" s="542" t="s">
        <v>53</v>
      </c>
      <c r="X54" s="543"/>
      <c r="Y54" s="542" t="s">
        <v>54</v>
      </c>
      <c r="Z54" s="543"/>
    </row>
    <row r="55" spans="1:26" ht="15.75">
      <c r="A55" s="554"/>
      <c r="B55" s="224" t="s">
        <v>215</v>
      </c>
      <c r="C55" s="224" t="s">
        <v>216</v>
      </c>
      <c r="D55" s="224" t="s">
        <v>215</v>
      </c>
      <c r="E55" s="224" t="s">
        <v>216</v>
      </c>
      <c r="F55" s="224" t="s">
        <v>215</v>
      </c>
      <c r="G55" s="224" t="s">
        <v>216</v>
      </c>
      <c r="H55" s="224" t="s">
        <v>215</v>
      </c>
      <c r="I55" s="224" t="s">
        <v>216</v>
      </c>
      <c r="J55" s="224" t="s">
        <v>215</v>
      </c>
      <c r="K55" s="224" t="s">
        <v>216</v>
      </c>
      <c r="L55" s="224" t="s">
        <v>215</v>
      </c>
      <c r="M55" s="224" t="s">
        <v>216</v>
      </c>
      <c r="N55" s="140" t="s">
        <v>215</v>
      </c>
      <c r="O55" s="224" t="s">
        <v>215</v>
      </c>
      <c r="P55" s="224" t="s">
        <v>216</v>
      </c>
      <c r="Q55" s="224" t="s">
        <v>215</v>
      </c>
      <c r="R55" s="224" t="s">
        <v>216</v>
      </c>
      <c r="S55" s="224" t="s">
        <v>215</v>
      </c>
      <c r="T55" s="224" t="s">
        <v>216</v>
      </c>
      <c r="U55" s="224" t="s">
        <v>215</v>
      </c>
      <c r="V55" s="224" t="s">
        <v>216</v>
      </c>
      <c r="W55" s="224" t="s">
        <v>215</v>
      </c>
      <c r="X55" s="224" t="s">
        <v>216</v>
      </c>
      <c r="Y55" s="224" t="s">
        <v>215</v>
      </c>
      <c r="Z55" s="224" t="s">
        <v>216</v>
      </c>
    </row>
    <row r="56" spans="1:26" ht="24" customHeight="1">
      <c r="A56" s="141" t="s">
        <v>217</v>
      </c>
      <c r="B56" s="320" t="s">
        <v>218</v>
      </c>
      <c r="C56" s="321" t="s">
        <v>218</v>
      </c>
      <c r="D56" s="320" t="s">
        <v>218</v>
      </c>
      <c r="E56" s="321" t="s">
        <v>218</v>
      </c>
      <c r="F56" s="321" t="s">
        <v>218</v>
      </c>
      <c r="G56" s="321" t="s">
        <v>218</v>
      </c>
      <c r="H56" s="115"/>
      <c r="I56" s="118"/>
      <c r="J56" s="115"/>
      <c r="K56" s="118"/>
      <c r="L56" s="115"/>
      <c r="M56" s="118"/>
      <c r="N56" s="115"/>
      <c r="O56" s="115"/>
      <c r="P56" s="118"/>
      <c r="Q56" s="115"/>
      <c r="R56" s="118"/>
      <c r="S56" s="115"/>
      <c r="T56" s="118"/>
      <c r="U56" s="115"/>
      <c r="V56" s="118"/>
      <c r="W56" s="115"/>
      <c r="X56" s="118"/>
      <c r="Y56" s="260"/>
      <c r="Z56" s="261"/>
    </row>
    <row r="57" spans="1:26" ht="24" customHeight="1">
      <c r="A57" s="142" t="s">
        <v>219</v>
      </c>
      <c r="B57" s="320" t="s">
        <v>218</v>
      </c>
      <c r="C57" s="321" t="s">
        <v>218</v>
      </c>
      <c r="D57" s="320" t="s">
        <v>218</v>
      </c>
      <c r="E57" s="321" t="s">
        <v>218</v>
      </c>
      <c r="F57" s="321" t="s">
        <v>218</v>
      </c>
      <c r="G57" s="321" t="s">
        <v>218</v>
      </c>
      <c r="H57" s="116"/>
      <c r="I57" s="117"/>
      <c r="J57" s="116"/>
      <c r="K57" s="117"/>
      <c r="L57" s="116"/>
      <c r="M57" s="117"/>
      <c r="N57" s="116"/>
      <c r="O57" s="116"/>
      <c r="P57" s="117"/>
      <c r="Q57" s="116"/>
      <c r="R57" s="117"/>
      <c r="S57" s="116"/>
      <c r="T57" s="117"/>
      <c r="U57" s="116"/>
      <c r="V57" s="117"/>
      <c r="W57" s="116"/>
      <c r="X57" s="117"/>
      <c r="Y57" s="259"/>
      <c r="Z57" s="279"/>
    </row>
    <row r="58" spans="1:26" ht="24" customHeight="1">
      <c r="A58" s="141" t="s">
        <v>164</v>
      </c>
      <c r="B58" s="319">
        <v>0</v>
      </c>
      <c r="C58" s="322">
        <v>1.8E-3</v>
      </c>
      <c r="D58" s="319">
        <v>0</v>
      </c>
      <c r="E58" s="426">
        <v>1.6000000000000001E-3</v>
      </c>
      <c r="F58" s="319">
        <v>0</v>
      </c>
      <c r="G58" s="426">
        <v>8.0000000000000004E-4</v>
      </c>
      <c r="H58" s="115"/>
      <c r="I58" s="118"/>
      <c r="J58" s="115"/>
      <c r="K58" s="118"/>
      <c r="L58" s="115"/>
      <c r="M58" s="118"/>
      <c r="N58" s="115"/>
      <c r="O58" s="115"/>
      <c r="P58" s="118"/>
      <c r="Q58" s="115"/>
      <c r="R58" s="118"/>
      <c r="S58" s="115"/>
      <c r="T58" s="118"/>
      <c r="U58" s="115"/>
      <c r="V58" s="118"/>
      <c r="W58" s="115"/>
      <c r="X58" s="118"/>
      <c r="Y58" s="260"/>
      <c r="Z58" s="261"/>
    </row>
    <row r="59" spans="1:26" ht="24" customHeight="1">
      <c r="A59" s="141" t="s">
        <v>220</v>
      </c>
      <c r="B59" s="319">
        <v>0</v>
      </c>
      <c r="C59" s="322">
        <v>0</v>
      </c>
      <c r="D59" s="319">
        <v>0</v>
      </c>
      <c r="E59" s="426">
        <v>4.0000000000000002E-4</v>
      </c>
      <c r="F59" s="319">
        <v>0</v>
      </c>
      <c r="G59" s="426">
        <v>1.6000000000000001E-3</v>
      </c>
      <c r="H59" s="115"/>
      <c r="I59" s="118"/>
      <c r="J59" s="115"/>
      <c r="K59" s="118"/>
      <c r="L59" s="115"/>
      <c r="M59" s="118"/>
      <c r="N59" s="115"/>
      <c r="O59" s="115"/>
      <c r="P59" s="118"/>
      <c r="Q59" s="115"/>
      <c r="R59" s="118"/>
      <c r="S59" s="115"/>
      <c r="T59" s="118"/>
      <c r="U59" s="115"/>
      <c r="V59" s="118"/>
      <c r="W59" s="115"/>
      <c r="X59" s="118"/>
      <c r="Y59" s="260"/>
      <c r="Z59" s="261"/>
    </row>
    <row r="60" spans="1:26" ht="24" customHeight="1">
      <c r="A60" s="141" t="s">
        <v>221</v>
      </c>
      <c r="B60" s="323" t="s">
        <v>218</v>
      </c>
      <c r="C60" s="322" t="s">
        <v>218</v>
      </c>
      <c r="D60" s="323" t="s">
        <v>218</v>
      </c>
      <c r="E60" s="322" t="s">
        <v>218</v>
      </c>
      <c r="F60" s="323" t="s">
        <v>218</v>
      </c>
      <c r="G60" s="322" t="s">
        <v>218</v>
      </c>
      <c r="H60" s="115"/>
      <c r="I60" s="118"/>
      <c r="J60" s="115"/>
      <c r="K60" s="118"/>
      <c r="L60" s="115"/>
      <c r="M60" s="118"/>
      <c r="N60" s="115"/>
      <c r="O60" s="115"/>
      <c r="P60" s="118"/>
      <c r="Q60" s="115"/>
      <c r="R60" s="118"/>
      <c r="S60" s="115"/>
      <c r="T60" s="118"/>
      <c r="U60" s="115"/>
      <c r="V60" s="118"/>
      <c r="W60" s="115"/>
      <c r="X60" s="118"/>
      <c r="Y60" s="260"/>
      <c r="Z60" s="261"/>
    </row>
    <row r="61" spans="1:26" ht="24" customHeight="1">
      <c r="A61" s="141" t="s">
        <v>222</v>
      </c>
      <c r="B61" s="319">
        <v>0</v>
      </c>
      <c r="C61" s="322">
        <v>8.0999999999999996E-3</v>
      </c>
      <c r="D61" s="319">
        <v>0</v>
      </c>
      <c r="E61" s="426">
        <v>8.5000000000000006E-3</v>
      </c>
      <c r="F61" s="319">
        <v>0</v>
      </c>
      <c r="G61" s="426">
        <v>1.37E-2</v>
      </c>
      <c r="H61" s="115"/>
      <c r="I61" s="118"/>
      <c r="J61" s="115"/>
      <c r="K61" s="118"/>
      <c r="L61" s="115"/>
      <c r="M61" s="118"/>
      <c r="N61" s="115"/>
      <c r="O61" s="115"/>
      <c r="P61" s="118"/>
      <c r="Q61" s="115"/>
      <c r="R61" s="118"/>
      <c r="S61" s="115"/>
      <c r="T61" s="118"/>
      <c r="U61" s="115"/>
      <c r="V61" s="118"/>
      <c r="W61" s="115"/>
      <c r="X61" s="118"/>
      <c r="Y61" s="260"/>
      <c r="Z61" s="261"/>
    </row>
    <row r="62" spans="1:26" ht="24" customHeight="1">
      <c r="A62" s="141" t="s">
        <v>223</v>
      </c>
      <c r="B62" s="323" t="s">
        <v>218</v>
      </c>
      <c r="C62" s="322" t="s">
        <v>218</v>
      </c>
      <c r="D62" s="323" t="s">
        <v>218</v>
      </c>
      <c r="E62" s="322" t="s">
        <v>218</v>
      </c>
      <c r="F62" s="323" t="s">
        <v>218</v>
      </c>
      <c r="G62" s="322" t="s">
        <v>218</v>
      </c>
      <c r="H62" s="115"/>
      <c r="I62" s="118"/>
      <c r="J62" s="115"/>
      <c r="K62" s="118"/>
      <c r="L62" s="115"/>
      <c r="M62" s="118"/>
      <c r="N62" s="115"/>
      <c r="O62" s="115"/>
      <c r="P62" s="118"/>
      <c r="Q62" s="115"/>
      <c r="R62" s="118"/>
      <c r="S62" s="115"/>
      <c r="T62" s="118"/>
      <c r="U62" s="115"/>
      <c r="V62" s="118"/>
      <c r="W62" s="115"/>
      <c r="X62" s="118"/>
      <c r="Y62" s="260"/>
      <c r="Z62" s="261"/>
    </row>
    <row r="63" spans="1:26" ht="24" customHeight="1">
      <c r="A63" s="141" t="s">
        <v>224</v>
      </c>
      <c r="B63" s="319">
        <v>0</v>
      </c>
      <c r="C63" s="322">
        <v>4.0000000000000002E-4</v>
      </c>
      <c r="D63" s="319">
        <v>0</v>
      </c>
      <c r="E63" s="426">
        <v>1E-3</v>
      </c>
      <c r="F63" s="319">
        <v>0</v>
      </c>
      <c r="G63" s="426">
        <v>6.9999999999999999E-4</v>
      </c>
      <c r="H63" s="115"/>
      <c r="I63" s="118"/>
      <c r="J63" s="115"/>
      <c r="K63" s="118"/>
      <c r="L63" s="115"/>
      <c r="M63" s="118"/>
      <c r="N63" s="115"/>
      <c r="O63" s="115"/>
      <c r="P63" s="118"/>
      <c r="Q63" s="115"/>
      <c r="R63" s="118"/>
      <c r="S63" s="115"/>
      <c r="T63" s="118"/>
      <c r="U63" s="115"/>
      <c r="V63" s="118"/>
      <c r="W63" s="115"/>
      <c r="X63" s="118"/>
      <c r="Y63" s="260"/>
      <c r="Z63" s="261"/>
    </row>
    <row r="64" spans="1:26" ht="24" customHeight="1">
      <c r="A64" s="141" t="s">
        <v>92</v>
      </c>
      <c r="B64" s="319">
        <v>0</v>
      </c>
      <c r="C64" s="322">
        <v>0</v>
      </c>
      <c r="D64" s="319">
        <v>0</v>
      </c>
      <c r="E64" s="426">
        <v>5.9999999999999995E-4</v>
      </c>
      <c r="F64" s="319">
        <v>0</v>
      </c>
      <c r="G64" s="426">
        <v>0</v>
      </c>
      <c r="H64" s="115"/>
      <c r="I64" s="118"/>
      <c r="J64" s="115"/>
      <c r="K64" s="118"/>
      <c r="L64" s="115"/>
      <c r="M64" s="118"/>
      <c r="N64" s="115"/>
      <c r="O64" s="115"/>
      <c r="P64" s="118"/>
      <c r="Q64" s="115"/>
      <c r="R64" s="118"/>
      <c r="S64" s="115"/>
      <c r="T64" s="118"/>
      <c r="U64" s="115"/>
      <c r="V64" s="118"/>
      <c r="W64" s="115"/>
      <c r="X64" s="118"/>
      <c r="Y64" s="260"/>
      <c r="Z64" s="261"/>
    </row>
    <row r="65" spans="1:26" ht="24" customHeight="1">
      <c r="A65" s="141" t="s">
        <v>225</v>
      </c>
      <c r="B65" s="320" t="s">
        <v>218</v>
      </c>
      <c r="C65" s="321" t="s">
        <v>218</v>
      </c>
      <c r="D65" s="320" t="s">
        <v>218</v>
      </c>
      <c r="E65" s="321" t="s">
        <v>218</v>
      </c>
      <c r="F65" s="320" t="s">
        <v>218</v>
      </c>
      <c r="G65" s="321" t="s">
        <v>218</v>
      </c>
      <c r="H65" s="115"/>
      <c r="I65" s="118"/>
      <c r="J65" s="115"/>
      <c r="K65" s="118"/>
      <c r="L65" s="115"/>
      <c r="M65" s="118"/>
      <c r="N65" s="115"/>
      <c r="O65" s="115"/>
      <c r="P65" s="118"/>
      <c r="Q65" s="115"/>
      <c r="R65" s="118"/>
      <c r="S65" s="115"/>
      <c r="T65" s="118"/>
      <c r="U65" s="115"/>
      <c r="V65" s="118"/>
      <c r="W65" s="115"/>
      <c r="X65" s="118"/>
      <c r="Y65" s="260"/>
      <c r="Z65" s="261"/>
    </row>
    <row r="66" spans="1:26" ht="24" customHeight="1">
      <c r="A66" s="141" t="s">
        <v>226</v>
      </c>
      <c r="B66" s="319">
        <v>0</v>
      </c>
      <c r="C66" s="322">
        <v>2.2000000000000001E-3</v>
      </c>
      <c r="D66" s="319">
        <v>0</v>
      </c>
      <c r="E66" s="426">
        <v>6.4000000000000003E-3</v>
      </c>
      <c r="F66" s="319">
        <v>0</v>
      </c>
      <c r="G66" s="426">
        <v>9.4000000000000004E-3</v>
      </c>
      <c r="H66" s="115"/>
      <c r="I66" s="118"/>
      <c r="J66" s="115"/>
      <c r="K66" s="118"/>
      <c r="L66" s="115"/>
      <c r="M66" s="118"/>
      <c r="N66" s="115"/>
      <c r="O66" s="115"/>
      <c r="P66" s="118"/>
      <c r="Q66" s="115"/>
      <c r="R66" s="118"/>
      <c r="S66" s="115"/>
      <c r="T66" s="118"/>
      <c r="U66" s="115"/>
      <c r="V66" s="118"/>
      <c r="W66" s="115"/>
      <c r="X66" s="118"/>
      <c r="Y66" s="260"/>
      <c r="Z66" s="261"/>
    </row>
    <row r="67" spans="1:26" ht="17.25" customHeight="1">
      <c r="A67" s="143" t="s">
        <v>191</v>
      </c>
      <c r="B67" s="540">
        <f>SUM(C58:C59,C61,C63,C64,C66)</f>
        <v>1.2499999999999999E-2</v>
      </c>
      <c r="C67" s="540"/>
      <c r="D67" s="540">
        <f>SUM(E58:E59,E61,E63,E64,E66)</f>
        <v>1.8499999999999999E-2</v>
      </c>
      <c r="E67" s="540"/>
      <c r="F67" s="540">
        <f>SUM(G58:G59,G61,G63,G64,G66)</f>
        <v>2.6200000000000001E-2</v>
      </c>
      <c r="G67" s="540"/>
      <c r="H67" s="538">
        <f>SUM(I58:I59,I61,I63,I64,I66)</f>
        <v>0</v>
      </c>
      <c r="I67" s="538"/>
      <c r="J67" s="538">
        <f>SUM(K58:K59,K61,K63,K64,K66)</f>
        <v>0</v>
      </c>
      <c r="K67" s="538"/>
      <c r="L67" s="538">
        <f>SUM(M58:M59,M61,M63,M64,M66)</f>
        <v>0</v>
      </c>
      <c r="M67" s="538"/>
      <c r="N67" s="241">
        <v>2.8799999999999999E-2</v>
      </c>
      <c r="O67" s="544">
        <f>SUM(P58+P59+P61+P63+P64+P66)</f>
        <v>0</v>
      </c>
      <c r="P67" s="545"/>
      <c r="Q67" s="538">
        <f t="shared" ref="Q67" si="3">SUM(R58:R59,R61,R63,R64,R66)</f>
        <v>0</v>
      </c>
      <c r="R67" s="538"/>
      <c r="S67" s="538">
        <f t="shared" ref="S67" si="4">SUM(T58:T59,T61,T63,T64,T66)</f>
        <v>0</v>
      </c>
      <c r="T67" s="538"/>
      <c r="U67" s="538">
        <f t="shared" ref="U67" si="5">SUM(V58:V59,V61,V63,V64,V66)</f>
        <v>0</v>
      </c>
      <c r="V67" s="538"/>
      <c r="W67" s="538">
        <f t="shared" ref="W67" si="6">SUM(X58:X59,X61,X63,X64,X66)</f>
        <v>0</v>
      </c>
      <c r="X67" s="538"/>
      <c r="Y67" s="541">
        <f t="shared" ref="Y67" si="7">SUM(Z58:Z59,Z61,Z63,Z64,Z66)</f>
        <v>0</v>
      </c>
      <c r="Z67" s="541"/>
    </row>
    <row r="68" spans="1:26" ht="14.25" customHeight="1">
      <c r="A68" s="539" t="s">
        <v>227</v>
      </c>
      <c r="B68" s="539"/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144"/>
      <c r="O68" s="145"/>
      <c r="P68" s="145"/>
      <c r="Q68" s="145"/>
      <c r="R68" s="145"/>
      <c r="S68" s="145"/>
      <c r="T68" s="145"/>
    </row>
    <row r="69" spans="1:26" ht="14.25" customHeight="1">
      <c r="A69" s="539"/>
      <c r="B69" s="539"/>
      <c r="C69" s="539"/>
      <c r="D69" s="539"/>
      <c r="E69" s="539"/>
      <c r="F69" s="539"/>
      <c r="G69" s="539"/>
      <c r="H69" s="539"/>
      <c r="I69" s="539"/>
      <c r="J69" s="539"/>
      <c r="K69" s="539"/>
      <c r="L69" s="539"/>
      <c r="M69" s="539"/>
      <c r="N69" s="144"/>
      <c r="O69" s="145"/>
      <c r="P69" s="145"/>
      <c r="Q69" s="145"/>
      <c r="R69" s="145"/>
      <c r="S69" s="145"/>
      <c r="T69" s="145"/>
    </row>
    <row r="70" spans="1:26" ht="30" customHeight="1">
      <c r="A70" s="539"/>
      <c r="B70" s="539"/>
      <c r="C70" s="539"/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144"/>
      <c r="O70" s="145"/>
      <c r="P70" s="145"/>
      <c r="Q70" s="145"/>
      <c r="R70" s="145"/>
      <c r="S70" s="145"/>
      <c r="T70" s="145"/>
    </row>
    <row r="71" spans="1:26" ht="30.6" customHeight="1">
      <c r="A71" s="539"/>
      <c r="B71" s="539"/>
      <c r="C71" s="539"/>
      <c r="D71" s="539"/>
      <c r="E71" s="539"/>
      <c r="F71" s="539"/>
      <c r="G71" s="539"/>
      <c r="H71" s="539"/>
      <c r="I71" s="539"/>
      <c r="J71" s="539"/>
      <c r="K71" s="539"/>
      <c r="L71" s="539"/>
      <c r="M71" s="539"/>
      <c r="N71" s="144"/>
      <c r="O71" s="145"/>
      <c r="P71" s="145"/>
      <c r="Q71" s="145"/>
      <c r="R71" s="145"/>
      <c r="S71" s="145"/>
      <c r="T71" s="145"/>
    </row>
    <row r="72" spans="1:26" ht="22.9" customHeight="1">
      <c r="A72" s="539"/>
      <c r="B72" s="539"/>
      <c r="C72" s="539"/>
      <c r="D72" s="539"/>
      <c r="E72" s="539"/>
      <c r="F72" s="539"/>
      <c r="G72" s="539"/>
      <c r="H72" s="539"/>
      <c r="I72" s="539"/>
      <c r="J72" s="539"/>
      <c r="K72" s="539"/>
      <c r="L72" s="539"/>
      <c r="M72" s="539"/>
      <c r="N72" s="144"/>
      <c r="O72" s="145"/>
      <c r="P72" s="145"/>
      <c r="Q72" s="145"/>
      <c r="R72" s="145"/>
      <c r="S72" s="145"/>
      <c r="T72" s="145"/>
    </row>
    <row r="73" spans="1:26" ht="10.5" customHeight="1"/>
    <row r="74" spans="1:26" ht="24.75" customHeight="1">
      <c r="A74" s="225" t="s">
        <v>228</v>
      </c>
      <c r="B74" s="226" t="s">
        <v>43</v>
      </c>
      <c r="C74" s="224" t="s">
        <v>44</v>
      </c>
      <c r="D74" s="226" t="s">
        <v>45</v>
      </c>
      <c r="E74" s="224" t="s">
        <v>46</v>
      </c>
      <c r="F74" s="224" t="s">
        <v>47</v>
      </c>
      <c r="G74" s="224" t="s">
        <v>48</v>
      </c>
      <c r="H74" s="224" t="s">
        <v>49</v>
      </c>
      <c r="I74" s="224" t="s">
        <v>50</v>
      </c>
      <c r="J74" s="224" t="s">
        <v>51</v>
      </c>
      <c r="K74" s="224" t="s">
        <v>52</v>
      </c>
      <c r="L74" s="224" t="s">
        <v>53</v>
      </c>
      <c r="M74" s="224" t="s">
        <v>54</v>
      </c>
      <c r="N74" s="146"/>
      <c r="O74" s="147"/>
      <c r="P74" s="147"/>
    </row>
    <row r="75" spans="1:26" ht="27.75" customHeight="1">
      <c r="A75" s="148" t="s">
        <v>228</v>
      </c>
      <c r="B75" s="329">
        <f>'PRODUÇÃO - 2026'!D8</f>
        <v>500</v>
      </c>
      <c r="C75" s="422">
        <v>475</v>
      </c>
      <c r="D75" s="422">
        <v>503</v>
      </c>
      <c r="E75" s="128"/>
      <c r="F75" s="128"/>
      <c r="G75" s="128"/>
      <c r="H75" s="128"/>
      <c r="I75" s="128"/>
      <c r="J75" s="128"/>
      <c r="K75" s="128"/>
      <c r="L75" s="271"/>
      <c r="M75" s="271"/>
    </row>
    <row r="76" spans="1:26" ht="27.75" customHeight="1">
      <c r="A76" s="148" t="s">
        <v>229</v>
      </c>
      <c r="B76" s="332">
        <v>9</v>
      </c>
      <c r="C76" s="423">
        <v>20</v>
      </c>
      <c r="D76" s="423">
        <v>21</v>
      </c>
      <c r="E76" s="130"/>
      <c r="F76" s="130"/>
      <c r="G76" s="130"/>
      <c r="H76" s="130"/>
      <c r="I76" s="130"/>
      <c r="J76" s="130"/>
      <c r="K76" s="130"/>
      <c r="L76" s="273"/>
      <c r="M76" s="273"/>
    </row>
    <row r="77" spans="1:26" ht="27.75" customHeight="1">
      <c r="A77" s="148" t="s">
        <v>230</v>
      </c>
      <c r="B77" s="328">
        <v>1.06E-2</v>
      </c>
      <c r="C77" s="424">
        <v>2.5999999999999999E-2</v>
      </c>
      <c r="D77" s="424">
        <v>1.61E-2</v>
      </c>
      <c r="E77" s="133"/>
      <c r="F77" s="115"/>
      <c r="G77" s="115"/>
      <c r="H77" s="115"/>
      <c r="I77" s="115"/>
      <c r="J77" s="115"/>
      <c r="K77" s="136"/>
      <c r="L77" s="274"/>
      <c r="M77" s="274"/>
    </row>
    <row r="78" spans="1:26" ht="27.75" customHeight="1">
      <c r="A78" s="148" t="s">
        <v>231</v>
      </c>
      <c r="B78" s="332">
        <v>4</v>
      </c>
      <c r="C78" s="423">
        <v>6</v>
      </c>
      <c r="D78" s="423">
        <v>12</v>
      </c>
      <c r="E78" s="130"/>
      <c r="F78" s="130"/>
      <c r="G78" s="130"/>
      <c r="H78" s="130"/>
      <c r="I78" s="130"/>
      <c r="J78" s="130"/>
      <c r="K78" s="130"/>
      <c r="L78" s="273"/>
      <c r="M78" s="273"/>
    </row>
    <row r="79" spans="1:26" ht="27.75" customHeight="1">
      <c r="A79" s="148" t="s">
        <v>232</v>
      </c>
      <c r="B79" s="332">
        <v>5</v>
      </c>
      <c r="C79" s="423">
        <v>14</v>
      </c>
      <c r="D79" s="423">
        <v>9</v>
      </c>
      <c r="E79" s="130"/>
      <c r="F79" s="130"/>
      <c r="G79" s="130"/>
      <c r="H79" s="130"/>
      <c r="I79" s="130"/>
      <c r="J79" s="130"/>
      <c r="K79" s="130"/>
      <c r="L79" s="273"/>
      <c r="M79" s="273"/>
    </row>
    <row r="80" spans="1:26" ht="31.5" customHeight="1">
      <c r="A80" s="149" t="s">
        <v>233</v>
      </c>
      <c r="B80" s="332">
        <v>0</v>
      </c>
      <c r="C80" s="425">
        <v>0</v>
      </c>
      <c r="D80" s="423">
        <v>0</v>
      </c>
      <c r="E80" s="130"/>
      <c r="F80" s="130"/>
      <c r="G80" s="130"/>
      <c r="H80" s="130"/>
      <c r="I80" s="130"/>
      <c r="J80" s="130"/>
      <c r="K80" s="150"/>
      <c r="L80" s="275"/>
      <c r="M80" s="275"/>
    </row>
    <row r="81" spans="1:13" ht="33" customHeight="1">
      <c r="A81" s="141" t="s">
        <v>234</v>
      </c>
      <c r="B81" s="333">
        <f>152/216</f>
        <v>0.70370370370370372</v>
      </c>
      <c r="C81" s="333">
        <f>147/214</f>
        <v>0.68691588785046731</v>
      </c>
      <c r="D81" s="432">
        <f>158/235</f>
        <v>0.67234042553191486</v>
      </c>
      <c r="E81" s="151"/>
      <c r="F81" s="151"/>
      <c r="G81" s="151"/>
      <c r="H81" s="151"/>
      <c r="I81" s="133"/>
      <c r="J81" s="252"/>
      <c r="K81" s="133"/>
      <c r="L81" s="270"/>
      <c r="M81" s="270"/>
    </row>
    <row r="82" spans="1:13">
      <c r="I82" s="152"/>
    </row>
    <row r="83" spans="1:13" ht="15.75">
      <c r="A83" s="537" t="s">
        <v>235</v>
      </c>
      <c r="B83" s="537"/>
      <c r="C83" s="537"/>
      <c r="D83" s="537"/>
      <c r="E83" s="537"/>
      <c r="F83" s="537"/>
      <c r="G83" s="537"/>
      <c r="H83" s="537"/>
      <c r="I83" s="537"/>
      <c r="J83" s="537"/>
      <c r="K83" s="537"/>
      <c r="L83" s="537"/>
      <c r="M83" s="537"/>
    </row>
    <row r="84" spans="1:13" ht="15.75">
      <c r="A84" s="536"/>
      <c r="B84" s="536"/>
      <c r="C84" s="146"/>
      <c r="D84" s="146"/>
      <c r="E84" s="146"/>
      <c r="F84" s="146"/>
      <c r="G84" s="146"/>
      <c r="H84" s="146"/>
      <c r="I84" s="146"/>
      <c r="J84" s="153"/>
    </row>
    <row r="85" spans="1:13">
      <c r="A85" s="536"/>
      <c r="B85" s="536"/>
      <c r="C85" s="536"/>
      <c r="D85" s="536"/>
      <c r="E85" s="536"/>
      <c r="F85" s="536"/>
      <c r="G85" s="536"/>
      <c r="H85" s="536"/>
      <c r="I85" s="536"/>
      <c r="J85" s="536"/>
    </row>
    <row r="86" spans="1:13" ht="15.75">
      <c r="A86" s="537"/>
      <c r="B86" s="537"/>
      <c r="C86" s="537"/>
      <c r="D86" s="537"/>
      <c r="E86" s="537"/>
      <c r="F86" s="537"/>
      <c r="G86" s="537"/>
      <c r="H86" s="537"/>
      <c r="I86" s="537"/>
      <c r="J86" s="537"/>
      <c r="K86" s="537"/>
      <c r="L86" s="537"/>
      <c r="M86" s="537"/>
    </row>
  </sheetData>
  <autoFilter ref="G55:N67" xr:uid="{00000000-0009-0000-0000-000002000000}"/>
  <mergeCells count="50">
    <mergeCell ref="A35:H36"/>
    <mergeCell ref="A44:N44"/>
    <mergeCell ref="A53:N53"/>
    <mergeCell ref="A54:A55"/>
    <mergeCell ref="B54:C54"/>
    <mergeCell ref="D54:E54"/>
    <mergeCell ref="F54:G54"/>
    <mergeCell ref="H54:I54"/>
    <mergeCell ref="B37:M37"/>
    <mergeCell ref="A37:A38"/>
    <mergeCell ref="B45:M45"/>
    <mergeCell ref="A45:A46"/>
    <mergeCell ref="J54:K54"/>
    <mergeCell ref="L54:M54"/>
    <mergeCell ref="A18:N18"/>
    <mergeCell ref="A19:A20"/>
    <mergeCell ref="B19:N19"/>
    <mergeCell ref="A26:N26"/>
    <mergeCell ref="A27:A28"/>
    <mergeCell ref="B27:N27"/>
    <mergeCell ref="A11:A12"/>
    <mergeCell ref="B11:N11"/>
    <mergeCell ref="A1:N1"/>
    <mergeCell ref="A2:N2"/>
    <mergeCell ref="A3:A4"/>
    <mergeCell ref="B3:N3"/>
    <mergeCell ref="A10:N10"/>
    <mergeCell ref="Y67:Z67"/>
    <mergeCell ref="O54:P54"/>
    <mergeCell ref="O67:P67"/>
    <mergeCell ref="W54:X54"/>
    <mergeCell ref="Y54:Z54"/>
    <mergeCell ref="S54:T54"/>
    <mergeCell ref="U54:V54"/>
    <mergeCell ref="Q54:R54"/>
    <mergeCell ref="A84:B84"/>
    <mergeCell ref="A85:J85"/>
    <mergeCell ref="A86:M86"/>
    <mergeCell ref="A83:M83"/>
    <mergeCell ref="W67:X67"/>
    <mergeCell ref="S67:T67"/>
    <mergeCell ref="U67:V67"/>
    <mergeCell ref="A68:M72"/>
    <mergeCell ref="L67:M67"/>
    <mergeCell ref="Q67:R67"/>
    <mergeCell ref="B67:C67"/>
    <mergeCell ref="D67:E67"/>
    <mergeCell ref="F67:G67"/>
    <mergeCell ref="H67:I67"/>
    <mergeCell ref="J67:K67"/>
  </mergeCells>
  <pageMargins left="0.98425196850393704" right="0.98425196850393704" top="0.39370078740157483" bottom="0.19685039370078741" header="0" footer="0"/>
  <pageSetup paperSize="9" scale="71" fitToHeight="0" pageOrder="overThenDown" orientation="portrait" horizontalDpi="300" verticalDpi="300" r:id="rId1"/>
  <headerFooter>
    <oddHeader>&amp;C&amp;A</oddHeader>
    <oddFooter>&amp;CPágina &amp;P</oddFooter>
  </headerFooter>
  <rowBreaks count="2" manualBreakCount="2">
    <brk id="25" max="25" man="1"/>
    <brk id="52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Síntese </vt:lpstr>
      <vt:lpstr>PRODUÇÃO - 2026</vt:lpstr>
      <vt:lpstr>DESEMPENHO - 2026</vt:lpstr>
      <vt:lpstr>EFETIVIDADE - 2026</vt:lpstr>
      <vt:lpstr>'DESEMPENHO - 2026'!Area_de_impressao</vt:lpstr>
      <vt:lpstr>'EFETIVIDADE - 2026'!Area_de_impressao</vt:lpstr>
      <vt:lpstr>'PRODUÇÃO - 2026'!Area_de_impressao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Lívia Soares Teixeira Bahia</dc:creator>
  <dc:description/>
  <cp:lastModifiedBy>infinity tecnologia</cp:lastModifiedBy>
  <cp:revision>487</cp:revision>
  <cp:lastPrinted>2026-04-09T18:14:40Z</cp:lastPrinted>
  <dcterms:created xsi:type="dcterms:W3CDTF">2016-06-10T12:45:00Z</dcterms:created>
  <dcterms:modified xsi:type="dcterms:W3CDTF">2026-04-09T18:14:54Z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81DE0FB7AACA4D4FA4C7EE5820684E82_12</vt:lpwstr>
  </property>
  <property fmtid="{D5CDD505-2E9C-101B-9397-08002B2CF9AE}" pid="4" name="KSOProductBuildVer">
    <vt:lpwstr>1046-12.2.0.13306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